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628"/>
  <workbookPr codeName="ThisWorkbook" defaultThemeVersion="124226"/>
  <mc:AlternateContent xmlns:mc="http://schemas.openxmlformats.org/markup-compatibility/2006">
    <mc:Choice Requires="x15">
      <x15ac:absPath xmlns:x15ac="http://schemas.microsoft.com/office/spreadsheetml/2010/11/ac" url="P:\Költségvetés\Private\2020\Rendeletmódosítás\utolsó rendeletmódosítás\Testületi\"/>
    </mc:Choice>
  </mc:AlternateContent>
  <xr:revisionPtr revIDLastSave="0" documentId="13_ncr:1_{0034C603-F2EC-4AF3-95AD-CABAF030957E}" xr6:coauthVersionLast="46" xr6:coauthVersionMax="46" xr10:uidLastSave="{00000000-0000-0000-0000-000000000000}"/>
  <bookViews>
    <workbookView xWindow="-120" yWindow="-120" windowWidth="20730" windowHeight="11160" tabRatio="842" firstSheet="4" activeTab="4" xr2:uid="{00000000-000D-0000-FFFF-FFFF00000000}"/>
  </bookViews>
  <sheets>
    <sheet name="1 bevétel (kötelező,önként)" sheetId="239" r:id="rId1"/>
    <sheet name="2 kiadás (kötelező, önként)" sheetId="240" r:id="rId2"/>
    <sheet name="3 bevétel(szűkített)" sheetId="261" r:id="rId3"/>
    <sheet name="4 kiadás(szűkített)" sheetId="260" r:id="rId4"/>
    <sheet name="5 egyenleg" sheetId="266" r:id="rId5"/>
    <sheet name="6 normatíva" sheetId="351" r:id="rId6"/>
    <sheet name="7 int. bevétel" sheetId="344" r:id="rId7"/>
    <sheet name="8 int.kiadás" sheetId="343" r:id="rId8"/>
    <sheet name="10 ök kiadás" sheetId="317" r:id="rId9"/>
    <sheet name="11melléklet " sheetId="318" r:id="rId10"/>
    <sheet name="12 fejlesztés " sheetId="315" r:id="rId11"/>
    <sheet name="13 Lakáselidegenítés" sheetId="350" r:id="rId12"/>
    <sheet name="14 Ktg.szervek felúj." sheetId="316" r:id="rId13"/>
    <sheet name="15 épületek fentartási költ" sheetId="349" r:id="rId14"/>
    <sheet name="16működési és felhalm " sheetId="299" r:id="rId15"/>
    <sheet name="17előirányzat felhasz. " sheetId="321" r:id="rId16"/>
    <sheet name="18többéves" sheetId="342" r:id="rId17"/>
    <sheet name="19projektek " sheetId="341" r:id="rId18"/>
    <sheet name="21 kiemelt" sheetId="345" r:id="rId19"/>
    <sheet name="23 Környezetvéd.alap" sheetId="348" r:id="rId20"/>
  </sheets>
  <externalReferences>
    <externalReference r:id="rId21"/>
    <externalReference r:id="rId22"/>
    <externalReference r:id="rId23"/>
    <externalReference r:id="rId24"/>
  </externalReferences>
  <definedNames>
    <definedName name="_______" localSheetId="9">[1]Munka3!#REF!</definedName>
    <definedName name="_______" localSheetId="13">[1]Munka3!#REF!</definedName>
    <definedName name="_______" localSheetId="15">[1]Munka3!#REF!</definedName>
    <definedName name="_______" localSheetId="16">[1]Munka3!#REF!</definedName>
    <definedName name="_______" localSheetId="17">[1]Munka3!#REF!</definedName>
    <definedName name="_______" localSheetId="19">[1]Munka3!#REF!</definedName>
    <definedName name="_______">[1]Munka3!#REF!</definedName>
    <definedName name="___________________e00001">[1]Munka3!#REF!</definedName>
    <definedName name="__________________b00001">[1]Munka3!#REF!</definedName>
    <definedName name="__________________e00001">[1]Munka3!#REF!</definedName>
    <definedName name="_________________b00001">[1]Munka3!#REF!</definedName>
    <definedName name="_________________e00001">[2]Munka3!#REF!</definedName>
    <definedName name="________________b00001">[2]Munka3!#REF!</definedName>
    <definedName name="________________e00001">[1]Munka3!#REF!</definedName>
    <definedName name="_______________b00001">[1]Munka3!#REF!</definedName>
    <definedName name="_______________e00001" localSheetId="9">[1]Munka3!#REF!</definedName>
    <definedName name="_______________e00001" localSheetId="13">[1]Munka3!#REF!</definedName>
    <definedName name="_______________e00001" localSheetId="15">[1]Munka3!#REF!</definedName>
    <definedName name="_______________e00001" localSheetId="16">[1]Munka3!#REF!</definedName>
    <definedName name="_______________e00001" localSheetId="19">[1]Munka3!#REF!</definedName>
    <definedName name="_______________e00001">[1]Munka3!#REF!</definedName>
    <definedName name="______________b00001" localSheetId="9">[1]Munka3!#REF!</definedName>
    <definedName name="______________b00001" localSheetId="13">[1]Munka3!#REF!</definedName>
    <definedName name="______________b00001" localSheetId="15">[1]Munka3!#REF!</definedName>
    <definedName name="______________b00001" localSheetId="16">[1]Munka3!#REF!</definedName>
    <definedName name="______________b00001" localSheetId="19">[1]Munka3!#REF!</definedName>
    <definedName name="______________b00001">[1]Munka3!#REF!</definedName>
    <definedName name="______________e00001" localSheetId="9">[1]Munka3!#REF!</definedName>
    <definedName name="______________e00001" localSheetId="13">[1]Munka3!#REF!</definedName>
    <definedName name="______________e00001" localSheetId="15">[1]Munka3!#REF!</definedName>
    <definedName name="______________e00001" localSheetId="16">[1]Munka3!#REF!</definedName>
    <definedName name="______________e00001" localSheetId="19">[1]Munka3!#REF!</definedName>
    <definedName name="______________e00001">[1]Munka3!#REF!</definedName>
    <definedName name="_____________b00001" localSheetId="9">[1]Munka3!#REF!</definedName>
    <definedName name="_____________b00001" localSheetId="15">[3]Munka3!#REF!</definedName>
    <definedName name="_____________b00001" localSheetId="17">[1]Munka3!#REF!</definedName>
    <definedName name="_____________b00001" localSheetId="19">[1]Munka3!#REF!</definedName>
    <definedName name="_____________b00001">[1]Munka3!#REF!</definedName>
    <definedName name="_____________e00001" localSheetId="15">[3]Munka3!#REF!</definedName>
    <definedName name="_____________e00001" localSheetId="17">[1]Munka3!#REF!</definedName>
    <definedName name="_____________e00001" localSheetId="19">[1]Munka3!#REF!</definedName>
    <definedName name="_____________e00001">[1]Munka3!#REF!</definedName>
    <definedName name="____________b00001" localSheetId="9">[1]Munka3!#REF!</definedName>
    <definedName name="____________b00001" localSheetId="15">[3]Munka3!#REF!</definedName>
    <definedName name="____________b00001" localSheetId="16">[3]Munka3!#REF!</definedName>
    <definedName name="____________b00001" localSheetId="17">[1]Munka3!#REF!</definedName>
    <definedName name="____________b00001" localSheetId="19">[1]Munka3!#REF!</definedName>
    <definedName name="____________b00001">[1]Munka3!#REF!</definedName>
    <definedName name="____________e00001" localSheetId="9">[1]Munka3!#REF!</definedName>
    <definedName name="____________e00001" localSheetId="15">[3]Munka3!#REF!</definedName>
    <definedName name="____________e00001" localSheetId="16">[3]Munka3!#REF!</definedName>
    <definedName name="____________e00001" localSheetId="17">[1]Munka3!#REF!</definedName>
    <definedName name="____________e00001" localSheetId="19">[1]Munka3!#REF!</definedName>
    <definedName name="____________e00001">[1]Munka3!#REF!</definedName>
    <definedName name="___________b00001" localSheetId="9">[1]Munka3!#REF!</definedName>
    <definedName name="___________b00001" localSheetId="15">[3]Munka3!#REF!</definedName>
    <definedName name="___________b00001" localSheetId="16">[3]Munka3!#REF!</definedName>
    <definedName name="___________b00001" localSheetId="19">[1]Munka3!#REF!</definedName>
    <definedName name="___________b00001">[1]Munka3!#REF!</definedName>
    <definedName name="___________e00001" localSheetId="9">[1]Munka3!#REF!</definedName>
    <definedName name="___________e00001" localSheetId="15">[3]Munka3!#REF!</definedName>
    <definedName name="___________e00001" localSheetId="16">[3]Munka3!#REF!</definedName>
    <definedName name="___________e00001" localSheetId="19">[1]Munka3!#REF!</definedName>
    <definedName name="___________e00001">[1]Munka3!#REF!</definedName>
    <definedName name="__________b00001" localSheetId="9">[1]Munka3!#REF!</definedName>
    <definedName name="__________b00001" localSheetId="15">[3]Munka3!#REF!</definedName>
    <definedName name="__________b00001" localSheetId="16">[3]Munka3!#REF!</definedName>
    <definedName name="__________b00001" localSheetId="19">[1]Munka3!#REF!</definedName>
    <definedName name="__________b00001">[1]Munka3!#REF!</definedName>
    <definedName name="__________e00001" localSheetId="9">[1]Munka3!#REF!</definedName>
    <definedName name="__________e00001" localSheetId="15">[3]Munka3!#REF!</definedName>
    <definedName name="__________e00001" localSheetId="19">[1]Munka3!#REF!</definedName>
    <definedName name="__________e00001">[1]Munka3!#REF!</definedName>
    <definedName name="_________b00001" localSheetId="9">[1]Munka3!#REF!</definedName>
    <definedName name="_________b00001" localSheetId="15">[3]Munka3!#REF!</definedName>
    <definedName name="_________b00001" localSheetId="19">[1]Munka3!#REF!</definedName>
    <definedName name="_________b00001">[1]Munka3!#REF!</definedName>
    <definedName name="_________e00001" localSheetId="9">[1]Munka3!#REF!</definedName>
    <definedName name="_________e00001" localSheetId="15">[3]Munka3!#REF!</definedName>
    <definedName name="_________e00001" localSheetId="19">[1]Munka3!#REF!</definedName>
    <definedName name="_________e00001">[1]Munka3!#REF!</definedName>
    <definedName name="________b00001" localSheetId="9">[1]Munka3!#REF!</definedName>
    <definedName name="________b00001" localSheetId="15">[3]Munka3!#REF!</definedName>
    <definedName name="________b00001" localSheetId="19">[1]Munka3!#REF!</definedName>
    <definedName name="________b00001">[1]Munka3!#REF!</definedName>
    <definedName name="________e00001" localSheetId="9">[1]Munka3!#REF!</definedName>
    <definedName name="________e00001" localSheetId="15">[3]Munka3!#REF!</definedName>
    <definedName name="________e00001" localSheetId="19">[1]Munka3!#REF!</definedName>
    <definedName name="________e00001">[1]Munka3!#REF!</definedName>
    <definedName name="_______b00001" localSheetId="9">[1]Munka3!#REF!</definedName>
    <definedName name="_______b00001" localSheetId="15">[3]Munka3!#REF!</definedName>
    <definedName name="_______b00001" localSheetId="19">[1]Munka3!#REF!</definedName>
    <definedName name="_______b00001">[1]Munka3!#REF!</definedName>
    <definedName name="_______e00001" localSheetId="9">[1]Munka3!#REF!</definedName>
    <definedName name="_______e00001" localSheetId="15">[3]Munka3!#REF!</definedName>
    <definedName name="_______e00001" localSheetId="19">[1]Munka3!#REF!</definedName>
    <definedName name="_______e00001">[1]Munka3!#REF!</definedName>
    <definedName name="______b00001" localSheetId="9">[1]Munka3!#REF!</definedName>
    <definedName name="______b00001" localSheetId="15">[3]Munka3!#REF!</definedName>
    <definedName name="______b00001" localSheetId="19">[1]Munka3!#REF!</definedName>
    <definedName name="______b00001">[1]Munka3!#REF!</definedName>
    <definedName name="______e00001" localSheetId="9">[1]Munka3!#REF!</definedName>
    <definedName name="______e00001" localSheetId="15">[3]Munka3!#REF!</definedName>
    <definedName name="______e00001" localSheetId="19">[1]Munka3!#REF!</definedName>
    <definedName name="______e00001">[1]Munka3!#REF!</definedName>
    <definedName name="_____b00001" localSheetId="9">[1]Munka3!#REF!</definedName>
    <definedName name="_____b00001" localSheetId="15">[3]Munka3!#REF!</definedName>
    <definedName name="_____b00001" localSheetId="19">[1]Munka3!#REF!</definedName>
    <definedName name="_____b00001">[1]Munka3!#REF!</definedName>
    <definedName name="_____e00001" localSheetId="9">[1]Munka3!#REF!</definedName>
    <definedName name="_____e00001" localSheetId="15">[3]Munka3!#REF!</definedName>
    <definedName name="_____e00001" localSheetId="19">[1]Munka3!#REF!</definedName>
    <definedName name="_____e00001">[1]Munka3!#REF!</definedName>
    <definedName name="____b00001" localSheetId="9">[1]Munka3!#REF!</definedName>
    <definedName name="____b00001" localSheetId="15">[3]Munka3!#REF!</definedName>
    <definedName name="____b00001" localSheetId="19">[1]Munka3!#REF!</definedName>
    <definedName name="____b00001">[1]Munka3!#REF!</definedName>
    <definedName name="____e00001" localSheetId="9">[1]Munka3!#REF!</definedName>
    <definedName name="____e00001" localSheetId="15">[3]Munka3!#REF!</definedName>
    <definedName name="____e00001" localSheetId="19">[1]Munka3!#REF!</definedName>
    <definedName name="____e00001">[1]Munka3!#REF!</definedName>
    <definedName name="___b00001" localSheetId="9">[1]Munka3!#REF!</definedName>
    <definedName name="___b00001" localSheetId="15">[3]Munka3!#REF!</definedName>
    <definedName name="___b00001" localSheetId="19">[1]Munka3!#REF!</definedName>
    <definedName name="___b00001">[1]Munka3!#REF!</definedName>
    <definedName name="___e00001" localSheetId="9">[1]Munka3!#REF!</definedName>
    <definedName name="___e00001" localSheetId="15">[3]Munka3!#REF!</definedName>
    <definedName name="___e00001" localSheetId="19">[1]Munka3!#REF!</definedName>
    <definedName name="___e00001">[1]Munka3!#REF!</definedName>
    <definedName name="__b00001" localSheetId="9">[1]Munka3!#REF!</definedName>
    <definedName name="__b00001" localSheetId="15">[3]Munka3!#REF!</definedName>
    <definedName name="__b00001" localSheetId="17">[3]Munka3!#REF!</definedName>
    <definedName name="__b00001" localSheetId="19">[1]Munka3!#REF!</definedName>
    <definedName name="__b00001">[1]Munka3!#REF!</definedName>
    <definedName name="__e00001" localSheetId="9">[1]Munka3!#REF!</definedName>
    <definedName name="__e00001" localSheetId="15">[3]Munka3!#REF!</definedName>
    <definedName name="__e00001" localSheetId="17">[3]Munka3!#REF!</definedName>
    <definedName name="__e00001" localSheetId="19">[1]Munka3!#REF!</definedName>
    <definedName name="__e00001">[1]Munka3!#REF!</definedName>
    <definedName name="_b00001" localSheetId="9">[1]Munka3!#REF!</definedName>
    <definedName name="_b00001" localSheetId="15">[3]Munka3!#REF!</definedName>
    <definedName name="_b00001" localSheetId="17">[3]Munka3!#REF!</definedName>
    <definedName name="_b00001" localSheetId="19">[1]Munka3!#REF!</definedName>
    <definedName name="_b00001">[1]Munka3!#REF!</definedName>
    <definedName name="_bev">[3]Munka3!#REF!</definedName>
    <definedName name="_e00001" localSheetId="9">[1]Munka3!#REF!</definedName>
    <definedName name="_e00001" localSheetId="15">[3]Munka3!#REF!</definedName>
    <definedName name="_e00001" localSheetId="17">[3]Munka3!#REF!</definedName>
    <definedName name="_e00001" localSheetId="19">[1]Munka3!#REF!</definedName>
    <definedName name="_e00001">[1]Munka3!#REF!</definedName>
    <definedName name="_e00002">[1]Munka3!#REF!</definedName>
    <definedName name="_Kiad">[1]Munka3!#REF!</definedName>
    <definedName name="b0000" localSheetId="9">[3]Munka3!#REF!</definedName>
    <definedName name="b0000" localSheetId="11">[3]Munka3!#REF!</definedName>
    <definedName name="b0000" localSheetId="13">[3]Munka3!#REF!</definedName>
    <definedName name="b0000" localSheetId="15">[3]Munka3!#REF!</definedName>
    <definedName name="b0000" localSheetId="17">[4]Munka3!#REF!</definedName>
    <definedName name="b0000" localSheetId="19">[3]Munka3!#REF!</definedName>
    <definedName name="b0000">[3]Munka3!#REF!</definedName>
    <definedName name="b00000" localSheetId="0">[1]Munka3!#REF!</definedName>
    <definedName name="b00000" localSheetId="8">[1]Munka3!#REF!</definedName>
    <definedName name="b00000" localSheetId="9">[3]Munka3!#REF!</definedName>
    <definedName name="b00000" localSheetId="11">[3]Munka3!#REF!</definedName>
    <definedName name="b00000" localSheetId="13">[3]Munka3!#REF!</definedName>
    <definedName name="b00000" localSheetId="14">[1]Munka3!#REF!</definedName>
    <definedName name="b00000" localSheetId="15">[3]Munka3!#REF!</definedName>
    <definedName name="b00000" localSheetId="17">[4]Munka3!#REF!</definedName>
    <definedName name="b00000" localSheetId="1">[1]Munka3!#REF!</definedName>
    <definedName name="b00000" localSheetId="19">[3]Munka3!#REF!</definedName>
    <definedName name="b00000">[3]Munka3!#REF!</definedName>
    <definedName name="Bev">[3]Munka3!#REF!</definedName>
    <definedName name="bevetel">[3]Munka3!#REF!</definedName>
    <definedName name="Bevétel">[3]Munka3!#REF!</definedName>
    <definedName name="c0000">[3]Munka3!#REF!</definedName>
    <definedName name="c00000" localSheetId="9">[3]Munka3!#REF!</definedName>
    <definedName name="c00000" localSheetId="11">[3]Munka3!#REF!</definedName>
    <definedName name="c00000" localSheetId="13">[3]Munka3!#REF!</definedName>
    <definedName name="c00000" localSheetId="15">[3]Munka3!#REF!</definedName>
    <definedName name="c00000" localSheetId="19">[3]Munka3!#REF!</definedName>
    <definedName name="c00000">[3]Munka3!#REF!</definedName>
    <definedName name="d0000">[3]Munka3!#REF!</definedName>
    <definedName name="e_00002" localSheetId="19">[1]Munka3!#REF!</definedName>
    <definedName name="e_00002">[1]Munka3!#REF!</definedName>
    <definedName name="E00000" localSheetId="0">[1]Munka3!#REF!</definedName>
    <definedName name="E00000" localSheetId="8">[1]Munka3!#REF!</definedName>
    <definedName name="E00000" localSheetId="9">[3]Munka3!#REF!</definedName>
    <definedName name="E00000" localSheetId="11">[3]Munka3!#REF!</definedName>
    <definedName name="E00000" localSheetId="13">[3]Munka3!#REF!</definedName>
    <definedName name="E00000" localSheetId="14">[1]Munka3!#REF!</definedName>
    <definedName name="E00000" localSheetId="15">[3]Munka3!#REF!</definedName>
    <definedName name="E00000" localSheetId="17">[4]Munka3!#REF!</definedName>
    <definedName name="E00000" localSheetId="1">[1]Munka3!#REF!</definedName>
    <definedName name="E00000" localSheetId="19">[3]Munka3!#REF!</definedName>
    <definedName name="E00000">[3]Munka3!#REF!</definedName>
    <definedName name="előirányzat">[3]Munka3!#REF!</definedName>
    <definedName name="este" localSheetId="19">[1]Munka3!#REF!</definedName>
    <definedName name="este">[1]Munka3!#REF!</definedName>
    <definedName name="fejl">[1]Munka3!#REF!</definedName>
    <definedName name="jav_előirányzatfelhasz" localSheetId="19">[1]Munka3!#REF!</definedName>
    <definedName name="jav_előirányzatfelhasz">[1]Munka3!#REF!</definedName>
    <definedName name="javítás" localSheetId="19">[1]Munka3!#REF!</definedName>
    <definedName name="javítás">[1]Munka3!#REF!</definedName>
    <definedName name="Ki">[1]Munka3!#REF!</definedName>
    <definedName name="kiad">[1]Munka3!#REF!</definedName>
    <definedName name="kiadás">[3]Munka3!#REF!</definedName>
    <definedName name="létszám" localSheetId="9">[3]Munka3!#REF!</definedName>
    <definedName name="létszám" localSheetId="11">[3]Munka3!#REF!</definedName>
    <definedName name="létszám" localSheetId="13">[3]Munka3!#REF!</definedName>
    <definedName name="létszám" localSheetId="15">[3]Munka3!#REF!</definedName>
    <definedName name="létszám" localSheetId="17">[4]Munka3!#REF!</definedName>
    <definedName name="létszám" localSheetId="19">[3]Munka3!#REF!</definedName>
    <definedName name="létszám">[3]Munka3!#REF!</definedName>
    <definedName name="Norm.2014" localSheetId="9">[3]Munka3!#REF!</definedName>
    <definedName name="Norm.2014" localSheetId="10">[3]Munka3!#REF!</definedName>
    <definedName name="Norm.2014" localSheetId="11">[3]Munka3!#REF!</definedName>
    <definedName name="Norm.2014" localSheetId="12">[3]Munka3!#REF!</definedName>
    <definedName name="Norm.2014" localSheetId="13">[3]Munka3!#REF!</definedName>
    <definedName name="Norm.2014" localSheetId="15">[3]Munka3!#REF!</definedName>
    <definedName name="Norm.2014" localSheetId="16">[3]Munka3!#REF!</definedName>
    <definedName name="Norm.2014" localSheetId="17">[3]Munka3!#REF!</definedName>
    <definedName name="Norm.2014" localSheetId="19">[3]Munka3!#REF!</definedName>
    <definedName name="Norm.2014">[1]Munka3!#REF!</definedName>
    <definedName name="_xlnm.Print_Titles" localSheetId="0">'1 bevétel (kötelező,önként)'!$A:$B,'1 bevétel (kötelező,önként)'!$1:$8</definedName>
    <definedName name="_xlnm.Print_Titles" localSheetId="8">'10 ök kiadás'!$1:$6</definedName>
    <definedName name="_xlnm.Print_Titles" localSheetId="9">'11melléklet '!$1:$3</definedName>
    <definedName name="_xlnm.Print_Titles" localSheetId="10">'12 fejlesztés '!$1:$3</definedName>
    <definedName name="_xlnm.Print_Titles" localSheetId="12">'14 Ktg.szervek felúj.'!$3:$3</definedName>
    <definedName name="_xlnm.Print_Titles" localSheetId="17">'19projektek '!$A:$C,'19projektek '!$1:$7</definedName>
    <definedName name="_xlnm.Print_Titles" localSheetId="1">'2 kiadás (kötelező, önként)'!$A:$B</definedName>
    <definedName name="_xlnm.Print_Titles" localSheetId="2">'3 bevétel(szűkített)'!$1:$8</definedName>
    <definedName name="_xlnm.Print_Titles" localSheetId="6">'7 int. bevétel'!$A:$B,'7 int. bevétel'!$1:$4</definedName>
    <definedName name="_xlnm.Print_Titles" localSheetId="7">'8 int.kiadás'!$1:$3</definedName>
    <definedName name="_xlnm.Print_Area" localSheetId="0">'1 bevétel (kötelező,önként)'!$A$1:$AL$66</definedName>
    <definedName name="_xlnm.Print_Area" localSheetId="8">'10 ök kiadás'!$A$1:$R$164</definedName>
    <definedName name="_xlnm.Print_Area" localSheetId="9">'11melléklet '!$A$1:$K$254</definedName>
    <definedName name="_xlnm.Print_Area" localSheetId="10">'12 fejlesztés '!$A$1:$D$101</definedName>
    <definedName name="_xlnm.Print_Area" localSheetId="15">'17előirányzat felhasz. '!$A$3:$N$31</definedName>
    <definedName name="_xlnm.Print_Area" localSheetId="16">'18többéves'!$A$1:$G$35</definedName>
    <definedName name="_xlnm.Print_Area" localSheetId="17">'19projektek '!$A$1:$AH$60</definedName>
    <definedName name="_xlnm.Print_Area" localSheetId="2">'3 bevétel(szűkített)'!$A$1:$K$66</definedName>
    <definedName name="_xlnm.Print_Area" localSheetId="3">'4 kiadás(szűkített)'!$A$1:$K$26</definedName>
    <definedName name="_xlnm.Print_Area" localSheetId="6">'7 int. bevétel'!$A$2:$O$423</definedName>
    <definedName name="_xlnm.Print_Area" localSheetId="7">'8 int.kiadás'!$A$1:$O$431</definedName>
  </definedNames>
  <calcPr calcId="191029"/>
</workbook>
</file>

<file path=xl/calcChain.xml><?xml version="1.0" encoding="utf-8"?>
<calcChain xmlns="http://schemas.openxmlformats.org/spreadsheetml/2006/main">
  <c r="C25" i="348" l="1"/>
  <c r="L5" i="321" l="1"/>
  <c r="M5" i="321"/>
  <c r="M8" i="321" l="1"/>
  <c r="C65" i="351" l="1"/>
  <c r="C53" i="351"/>
  <c r="E31" i="351"/>
  <c r="E29" i="351"/>
  <c r="E26" i="351"/>
  <c r="E25" i="351"/>
  <c r="E24" i="351"/>
  <c r="E22" i="351"/>
  <c r="E21" i="351"/>
  <c r="E20" i="351"/>
  <c r="E19" i="351"/>
  <c r="E18" i="351"/>
  <c r="E17" i="351"/>
  <c r="E16" i="351"/>
  <c r="E15" i="351"/>
  <c r="E14" i="351"/>
  <c r="E12" i="351"/>
  <c r="E10" i="351"/>
  <c r="E35" i="351" s="1"/>
  <c r="C68" i="351" s="1"/>
  <c r="K18" i="261" l="1"/>
  <c r="J18" i="261"/>
  <c r="E18" i="261"/>
  <c r="AH18" i="239"/>
  <c r="AE18" i="239"/>
  <c r="AL18" i="239"/>
  <c r="AI18" i="239"/>
  <c r="N18" i="239"/>
  <c r="K18" i="239"/>
  <c r="J18" i="239"/>
  <c r="G18" i="239"/>
  <c r="G39" i="239"/>
  <c r="D39" i="261"/>
  <c r="D18" i="261"/>
  <c r="B7" i="350" l="1"/>
  <c r="B14" i="350" s="1"/>
  <c r="B15" i="350" s="1"/>
  <c r="D15" i="349"/>
  <c r="E15" i="349" s="1"/>
  <c r="D16" i="349"/>
  <c r="E16" i="349" s="1"/>
  <c r="D14" i="349"/>
  <c r="E14" i="349" s="1"/>
  <c r="C13" i="349"/>
  <c r="C7" i="349"/>
  <c r="C17" i="349" s="1"/>
  <c r="C18" i="349" s="1"/>
  <c r="D6" i="349"/>
  <c r="D7" i="349" s="1"/>
  <c r="D5" i="349"/>
  <c r="E5" i="349" s="1"/>
  <c r="C4" i="349"/>
  <c r="C9" i="349" s="1"/>
  <c r="C23" i="348"/>
  <c r="C26" i="348" s="1"/>
  <c r="C28" i="348" s="1"/>
  <c r="C10" i="348"/>
  <c r="C9" i="348"/>
  <c r="L39" i="261"/>
  <c r="N5" i="321"/>
  <c r="M7" i="321"/>
  <c r="M6" i="321"/>
  <c r="M9" i="321"/>
  <c r="M11" i="321"/>
  <c r="M10" i="321"/>
  <c r="E6" i="349" l="1"/>
  <c r="E7" i="349" s="1"/>
  <c r="E17" i="349" s="1"/>
  <c r="D13" i="349"/>
  <c r="D4" i="349"/>
  <c r="E4" i="349"/>
  <c r="E8" i="349" s="1"/>
  <c r="E9" i="349" s="1"/>
  <c r="E13" i="349"/>
  <c r="E18" i="349" s="1"/>
  <c r="D17" i="349"/>
  <c r="D18" i="349" s="1"/>
  <c r="D8" i="349" s="1"/>
  <c r="D9" i="349" s="1"/>
  <c r="C13" i="348"/>
  <c r="C15" i="348"/>
  <c r="M17" i="321" l="1"/>
  <c r="M18" i="321"/>
  <c r="M22" i="321"/>
  <c r="M19" i="321"/>
  <c r="M20" i="321"/>
  <c r="M21" i="321"/>
  <c r="E12" i="321"/>
  <c r="N12" i="321" s="1"/>
  <c r="Q12" i="321" l="1"/>
  <c r="P12" i="321"/>
  <c r="O22" i="321"/>
  <c r="O21" i="321"/>
  <c r="O20" i="321"/>
  <c r="E17" i="299"/>
  <c r="B33" i="299" l="1"/>
  <c r="B15" i="299"/>
  <c r="E41" i="345"/>
  <c r="D41" i="345"/>
  <c r="C41" i="345"/>
  <c r="B41" i="345"/>
  <c r="E31" i="345"/>
  <c r="D31" i="345"/>
  <c r="C31" i="345"/>
  <c r="B31" i="345"/>
  <c r="E26" i="345"/>
  <c r="E27" i="345" s="1"/>
  <c r="E42" i="345" s="1"/>
  <c r="E44" i="345" s="1"/>
  <c r="D26" i="345"/>
  <c r="D27" i="345" s="1"/>
  <c r="D42" i="345" s="1"/>
  <c r="D44" i="345" s="1"/>
  <c r="C26" i="345"/>
  <c r="C27" i="345" s="1"/>
  <c r="C42" i="345" s="1"/>
  <c r="C44" i="345" s="1"/>
  <c r="B26" i="345"/>
  <c r="B27" i="345" s="1"/>
  <c r="B42" i="345" s="1"/>
  <c r="B44" i="345" s="1"/>
  <c r="E13" i="345"/>
  <c r="D13" i="345"/>
  <c r="C13" i="345"/>
  <c r="B13" i="345"/>
  <c r="E6" i="345"/>
  <c r="D6" i="345"/>
  <c r="C6" i="345"/>
  <c r="B6" i="345"/>
  <c r="O437" i="344" l="1"/>
  <c r="N437" i="344"/>
  <c r="M437" i="344"/>
  <c r="L437" i="344"/>
  <c r="K437" i="344"/>
  <c r="J437" i="344"/>
  <c r="I437" i="344"/>
  <c r="H437" i="344"/>
  <c r="G437" i="344"/>
  <c r="F437" i="344"/>
  <c r="E437" i="344"/>
  <c r="D437" i="344"/>
  <c r="C437" i="344"/>
  <c r="F431" i="344"/>
  <c r="N423" i="344"/>
  <c r="F423" i="344"/>
  <c r="N414" i="344"/>
  <c r="M414" i="344"/>
  <c r="I414" i="344"/>
  <c r="H414" i="344"/>
  <c r="G414" i="344"/>
  <c r="F414" i="344"/>
  <c r="E414" i="344"/>
  <c r="D414" i="344"/>
  <c r="C414" i="344"/>
  <c r="N413" i="344"/>
  <c r="M413" i="344"/>
  <c r="I413" i="344"/>
  <c r="H413" i="344"/>
  <c r="G413" i="344"/>
  <c r="F413" i="344"/>
  <c r="E413" i="344"/>
  <c r="D413" i="344"/>
  <c r="C413" i="344"/>
  <c r="N412" i="344"/>
  <c r="M412" i="344"/>
  <c r="I412" i="344"/>
  <c r="H412" i="344"/>
  <c r="G412" i="344"/>
  <c r="F412" i="344"/>
  <c r="E412" i="344"/>
  <c r="D412" i="344"/>
  <c r="C412" i="344"/>
  <c r="N411" i="344"/>
  <c r="M411" i="344"/>
  <c r="I411" i="344"/>
  <c r="H411" i="344"/>
  <c r="G411" i="344"/>
  <c r="F411" i="344"/>
  <c r="E411" i="344"/>
  <c r="D411" i="344"/>
  <c r="C411" i="344"/>
  <c r="N410" i="344"/>
  <c r="M410" i="344"/>
  <c r="I410" i="344"/>
  <c r="H410" i="344"/>
  <c r="G410" i="344"/>
  <c r="F410" i="344"/>
  <c r="E410" i="344"/>
  <c r="D410" i="344"/>
  <c r="C410" i="344"/>
  <c r="N409" i="344"/>
  <c r="M409" i="344"/>
  <c r="I409" i="344"/>
  <c r="H409" i="344"/>
  <c r="G409" i="344"/>
  <c r="F409" i="344"/>
  <c r="E409" i="344"/>
  <c r="D409" i="344"/>
  <c r="C409" i="344"/>
  <c r="N408" i="344"/>
  <c r="M408" i="344"/>
  <c r="I408" i="344"/>
  <c r="H408" i="344"/>
  <c r="G408" i="344"/>
  <c r="F408" i="344"/>
  <c r="E408" i="344"/>
  <c r="D408" i="344"/>
  <c r="C408" i="344"/>
  <c r="N407" i="344"/>
  <c r="N436" i="344" s="1"/>
  <c r="M407" i="344"/>
  <c r="I407" i="344"/>
  <c r="H407" i="344"/>
  <c r="G407" i="344"/>
  <c r="F407" i="344"/>
  <c r="F436" i="344" s="1"/>
  <c r="E407" i="344"/>
  <c r="D407" i="344"/>
  <c r="C407" i="344"/>
  <c r="N406" i="344"/>
  <c r="M406" i="344"/>
  <c r="I406" i="344"/>
  <c r="H406" i="344"/>
  <c r="G406" i="344"/>
  <c r="F406" i="344"/>
  <c r="E406" i="344"/>
  <c r="D406" i="344"/>
  <c r="C406" i="344"/>
  <c r="N405" i="344"/>
  <c r="M405" i="344"/>
  <c r="I405" i="344"/>
  <c r="H405" i="344"/>
  <c r="G405" i="344"/>
  <c r="F405" i="344"/>
  <c r="E405" i="344"/>
  <c r="D405" i="344"/>
  <c r="C405" i="344"/>
  <c r="N404" i="344"/>
  <c r="M404" i="344"/>
  <c r="M436" i="344" s="1"/>
  <c r="I404" i="344"/>
  <c r="I436" i="344" s="1"/>
  <c r="H404" i="344"/>
  <c r="G404" i="344"/>
  <c r="F404" i="344"/>
  <c r="E404" i="344"/>
  <c r="E436" i="344" s="1"/>
  <c r="D404" i="344"/>
  <c r="C404" i="344"/>
  <c r="N402" i="344"/>
  <c r="M402" i="344"/>
  <c r="I402" i="344"/>
  <c r="H402" i="344"/>
  <c r="G402" i="344"/>
  <c r="F402" i="344"/>
  <c r="E402" i="344"/>
  <c r="D402" i="344"/>
  <c r="C402" i="344"/>
  <c r="N401" i="344"/>
  <c r="M401" i="344"/>
  <c r="K401" i="344"/>
  <c r="I401" i="344"/>
  <c r="H401" i="344"/>
  <c r="G401" i="344"/>
  <c r="F401" i="344"/>
  <c r="E401" i="344"/>
  <c r="D401" i="344"/>
  <c r="C401" i="344"/>
  <c r="N400" i="344"/>
  <c r="I400" i="344"/>
  <c r="H400" i="344"/>
  <c r="G400" i="344"/>
  <c r="E400" i="344"/>
  <c r="D400" i="344"/>
  <c r="C400" i="344"/>
  <c r="N399" i="344"/>
  <c r="M399" i="344"/>
  <c r="I399" i="344"/>
  <c r="H399" i="344"/>
  <c r="G399" i="344"/>
  <c r="F399" i="344"/>
  <c r="E399" i="344"/>
  <c r="D399" i="344"/>
  <c r="C399" i="344"/>
  <c r="N398" i="344"/>
  <c r="M398" i="344"/>
  <c r="I398" i="344"/>
  <c r="H398" i="344"/>
  <c r="G398" i="344"/>
  <c r="F398" i="344"/>
  <c r="E398" i="344"/>
  <c r="D398" i="344"/>
  <c r="C398" i="344"/>
  <c r="N397" i="344"/>
  <c r="M397" i="344"/>
  <c r="I397" i="344"/>
  <c r="H397" i="344"/>
  <c r="G397" i="344"/>
  <c r="G435" i="344" s="1"/>
  <c r="F397" i="344"/>
  <c r="E397" i="344"/>
  <c r="D397" i="344"/>
  <c r="C397" i="344"/>
  <c r="C435" i="344" s="1"/>
  <c r="N396" i="344"/>
  <c r="M396" i="344"/>
  <c r="I396" i="344"/>
  <c r="H396" i="344"/>
  <c r="G396" i="344"/>
  <c r="F396" i="344"/>
  <c r="E396" i="344"/>
  <c r="D396" i="344"/>
  <c r="D435" i="344" s="1"/>
  <c r="C396" i="344"/>
  <c r="N392" i="344"/>
  <c r="M392" i="344"/>
  <c r="M423" i="344" s="1"/>
  <c r="M431" i="344" s="1"/>
  <c r="K392" i="344"/>
  <c r="K423" i="344" s="1"/>
  <c r="I392" i="344"/>
  <c r="I423" i="344" s="1"/>
  <c r="H392" i="344"/>
  <c r="H423" i="344" s="1"/>
  <c r="H431" i="344" s="1"/>
  <c r="G392" i="344"/>
  <c r="G423" i="344" s="1"/>
  <c r="G431" i="344" s="1"/>
  <c r="F392" i="344"/>
  <c r="E392" i="344"/>
  <c r="E423" i="344" s="1"/>
  <c r="E431" i="344" s="1"/>
  <c r="D392" i="344"/>
  <c r="D423" i="344" s="1"/>
  <c r="C392" i="344"/>
  <c r="C423" i="344" s="1"/>
  <c r="C431" i="344" s="1"/>
  <c r="N391" i="344"/>
  <c r="M391" i="344"/>
  <c r="I391" i="344"/>
  <c r="H391" i="344"/>
  <c r="G391" i="344"/>
  <c r="F391" i="344"/>
  <c r="E391" i="344"/>
  <c r="D391" i="344"/>
  <c r="C391" i="344"/>
  <c r="N390" i="344"/>
  <c r="M390" i="344"/>
  <c r="I390" i="344"/>
  <c r="H390" i="344"/>
  <c r="G390" i="344"/>
  <c r="F390" i="344"/>
  <c r="E390" i="344"/>
  <c r="D390" i="344"/>
  <c r="C390" i="344"/>
  <c r="G389" i="344"/>
  <c r="C389" i="344"/>
  <c r="K388" i="344"/>
  <c r="J388" i="344"/>
  <c r="L388" i="344" s="1"/>
  <c r="O388" i="344" s="1"/>
  <c r="K387" i="344"/>
  <c r="J387" i="344"/>
  <c r="L387" i="344" s="1"/>
  <c r="O387" i="344" s="1"/>
  <c r="K385" i="344"/>
  <c r="J385" i="344"/>
  <c r="L385" i="344" s="1"/>
  <c r="O385" i="344" s="1"/>
  <c r="K383" i="344"/>
  <c r="J383" i="344"/>
  <c r="K382" i="344"/>
  <c r="J382" i="344"/>
  <c r="L382" i="344" s="1"/>
  <c r="O382" i="344" s="1"/>
  <c r="K381" i="344"/>
  <c r="J381" i="344"/>
  <c r="L381" i="344" s="1"/>
  <c r="O381" i="344" s="1"/>
  <c r="K379" i="344"/>
  <c r="J379" i="344"/>
  <c r="K378" i="344"/>
  <c r="K391" i="344" s="1"/>
  <c r="J378" i="344"/>
  <c r="K377" i="344"/>
  <c r="K390" i="344" s="1"/>
  <c r="J377" i="344"/>
  <c r="N376" i="344"/>
  <c r="N389" i="344" s="1"/>
  <c r="M376" i="344"/>
  <c r="M389" i="344" s="1"/>
  <c r="I376" i="344"/>
  <c r="I389" i="344" s="1"/>
  <c r="H376" i="344"/>
  <c r="H389" i="344" s="1"/>
  <c r="G376" i="344"/>
  <c r="F376" i="344"/>
  <c r="F389" i="344" s="1"/>
  <c r="E376" i="344"/>
  <c r="E389" i="344" s="1"/>
  <c r="D376" i="344"/>
  <c r="C376" i="344"/>
  <c r="J376" i="344" s="1"/>
  <c r="N372" i="344"/>
  <c r="M372" i="344"/>
  <c r="J372" i="344"/>
  <c r="I372" i="344"/>
  <c r="H372" i="344"/>
  <c r="G372" i="344"/>
  <c r="F372" i="344"/>
  <c r="E372" i="344"/>
  <c r="D372" i="344"/>
  <c r="C372" i="344"/>
  <c r="N371" i="344"/>
  <c r="M371" i="344"/>
  <c r="K371" i="344"/>
  <c r="J371" i="344"/>
  <c r="I371" i="344"/>
  <c r="H371" i="344"/>
  <c r="G371" i="344"/>
  <c r="F371" i="344"/>
  <c r="E371" i="344"/>
  <c r="D371" i="344"/>
  <c r="C371" i="344"/>
  <c r="M370" i="344"/>
  <c r="I370" i="344"/>
  <c r="H370" i="344"/>
  <c r="E370" i="344"/>
  <c r="D370" i="344"/>
  <c r="L369" i="344"/>
  <c r="O369" i="344" s="1"/>
  <c r="K369" i="344"/>
  <c r="J369" i="344"/>
  <c r="L368" i="344"/>
  <c r="K368" i="344"/>
  <c r="K411" i="344" s="1"/>
  <c r="J368" i="344"/>
  <c r="J411" i="344" s="1"/>
  <c r="L367" i="344"/>
  <c r="K367" i="344"/>
  <c r="K407" i="344" s="1"/>
  <c r="J367" i="344"/>
  <c r="J407" i="344" s="1"/>
  <c r="L366" i="344"/>
  <c r="K366" i="344"/>
  <c r="K406" i="344" s="1"/>
  <c r="J366" i="344"/>
  <c r="J406" i="344" s="1"/>
  <c r="L364" i="344"/>
  <c r="O364" i="344" s="1"/>
  <c r="K364" i="344"/>
  <c r="J364" i="344"/>
  <c r="L362" i="344"/>
  <c r="K362" i="344"/>
  <c r="K372" i="344" s="1"/>
  <c r="J362" i="344"/>
  <c r="L361" i="344"/>
  <c r="K361" i="344"/>
  <c r="J361" i="344"/>
  <c r="N360" i="344"/>
  <c r="N370" i="344" s="1"/>
  <c r="M360" i="344"/>
  <c r="I360" i="344"/>
  <c r="H360" i="344"/>
  <c r="G360" i="344"/>
  <c r="G370" i="344" s="1"/>
  <c r="F360" i="344"/>
  <c r="F370" i="344" s="1"/>
  <c r="E360" i="344"/>
  <c r="D360" i="344"/>
  <c r="K360" i="344" s="1"/>
  <c r="K370" i="344" s="1"/>
  <c r="C360" i="344"/>
  <c r="C370" i="344" s="1"/>
  <c r="N358" i="344"/>
  <c r="M358" i="344"/>
  <c r="I358" i="344"/>
  <c r="H358" i="344"/>
  <c r="G358" i="344"/>
  <c r="F358" i="344"/>
  <c r="E358" i="344"/>
  <c r="D358" i="344"/>
  <c r="C358" i="344"/>
  <c r="H357" i="344"/>
  <c r="G357" i="344"/>
  <c r="D357" i="344"/>
  <c r="C357" i="344"/>
  <c r="K356" i="344"/>
  <c r="J356" i="344"/>
  <c r="K355" i="344"/>
  <c r="J355" i="344"/>
  <c r="K353" i="344"/>
  <c r="J353" i="344"/>
  <c r="J358" i="344" s="1"/>
  <c r="N352" i="344"/>
  <c r="N357" i="344" s="1"/>
  <c r="M352" i="344"/>
  <c r="M357" i="344" s="1"/>
  <c r="I352" i="344"/>
  <c r="I357" i="344" s="1"/>
  <c r="H352" i="344"/>
  <c r="G352" i="344"/>
  <c r="F352" i="344"/>
  <c r="F357" i="344" s="1"/>
  <c r="E352" i="344"/>
  <c r="E357" i="344" s="1"/>
  <c r="D352" i="344"/>
  <c r="C352" i="344"/>
  <c r="J352" i="344" s="1"/>
  <c r="N350" i="344"/>
  <c r="M350" i="344"/>
  <c r="I350" i="344"/>
  <c r="H350" i="344"/>
  <c r="G350" i="344"/>
  <c r="F350" i="344"/>
  <c r="E350" i="344"/>
  <c r="D350" i="344"/>
  <c r="C350" i="344"/>
  <c r="N349" i="344"/>
  <c r="G349" i="344"/>
  <c r="F349" i="344"/>
  <c r="C349" i="344"/>
  <c r="K348" i="344"/>
  <c r="J348" i="344"/>
  <c r="L348" i="344" s="1"/>
  <c r="O348" i="344" s="1"/>
  <c r="K347" i="344"/>
  <c r="J347" i="344"/>
  <c r="L347" i="344" s="1"/>
  <c r="O347" i="344" s="1"/>
  <c r="K346" i="344"/>
  <c r="J346" i="344"/>
  <c r="L346" i="344" s="1"/>
  <c r="O346" i="344" s="1"/>
  <c r="K345" i="344"/>
  <c r="K409" i="344" s="1"/>
  <c r="J345" i="344"/>
  <c r="K344" i="344"/>
  <c r="J344" i="344"/>
  <c r="L344" i="344" s="1"/>
  <c r="O344" i="344" s="1"/>
  <c r="K342" i="344"/>
  <c r="K350" i="344" s="1"/>
  <c r="J342" i="344"/>
  <c r="N341" i="344"/>
  <c r="M341" i="344"/>
  <c r="M349" i="344" s="1"/>
  <c r="I341" i="344"/>
  <c r="I349" i="344" s="1"/>
  <c r="H341" i="344"/>
  <c r="H349" i="344" s="1"/>
  <c r="G341" i="344"/>
  <c r="F341" i="344"/>
  <c r="E341" i="344"/>
  <c r="E349" i="344" s="1"/>
  <c r="D341" i="344"/>
  <c r="C341" i="344"/>
  <c r="N339" i="344"/>
  <c r="M339" i="344"/>
  <c r="I339" i="344"/>
  <c r="H339" i="344"/>
  <c r="G339" i="344"/>
  <c r="F339" i="344"/>
  <c r="E339" i="344"/>
  <c r="D339" i="344"/>
  <c r="C339" i="344"/>
  <c r="N338" i="344"/>
  <c r="M338" i="344"/>
  <c r="I338" i="344"/>
  <c r="F338" i="344"/>
  <c r="E338" i="344"/>
  <c r="O337" i="344"/>
  <c r="L337" i="344"/>
  <c r="K337" i="344"/>
  <c r="J337" i="344"/>
  <c r="O335" i="344"/>
  <c r="O339" i="344" s="1"/>
  <c r="L335" i="344"/>
  <c r="L339" i="344" s="1"/>
  <c r="K335" i="344"/>
  <c r="K339" i="344" s="1"/>
  <c r="J335" i="344"/>
  <c r="J339" i="344" s="1"/>
  <c r="N334" i="344"/>
  <c r="M334" i="344"/>
  <c r="I334" i="344"/>
  <c r="H334" i="344"/>
  <c r="H338" i="344" s="1"/>
  <c r="G334" i="344"/>
  <c r="F334" i="344"/>
  <c r="E334" i="344"/>
  <c r="D334" i="344"/>
  <c r="D338" i="344" s="1"/>
  <c r="C334" i="344"/>
  <c r="N332" i="344"/>
  <c r="M332" i="344"/>
  <c r="I332" i="344"/>
  <c r="H332" i="344"/>
  <c r="G332" i="344"/>
  <c r="F332" i="344"/>
  <c r="E332" i="344"/>
  <c r="D332" i="344"/>
  <c r="C332" i="344"/>
  <c r="M331" i="344"/>
  <c r="I331" i="344"/>
  <c r="H331" i="344"/>
  <c r="E331" i="344"/>
  <c r="D331" i="344"/>
  <c r="L330" i="344"/>
  <c r="O330" i="344" s="1"/>
  <c r="K330" i="344"/>
  <c r="J330" i="344"/>
  <c r="L328" i="344"/>
  <c r="O328" i="344" s="1"/>
  <c r="K328" i="344"/>
  <c r="K332" i="344" s="1"/>
  <c r="J328" i="344"/>
  <c r="J332" i="344" s="1"/>
  <c r="N327" i="344"/>
  <c r="N331" i="344" s="1"/>
  <c r="M327" i="344"/>
  <c r="I327" i="344"/>
  <c r="H327" i="344"/>
  <c r="G327" i="344"/>
  <c r="G331" i="344" s="1"/>
  <c r="F327" i="344"/>
  <c r="F331" i="344" s="1"/>
  <c r="E327" i="344"/>
  <c r="D327" i="344"/>
  <c r="K327" i="344" s="1"/>
  <c r="K331" i="344" s="1"/>
  <c r="C327" i="344"/>
  <c r="C331" i="344" s="1"/>
  <c r="O325" i="344"/>
  <c r="N325" i="344"/>
  <c r="M325" i="344"/>
  <c r="K325" i="344"/>
  <c r="I325" i="344"/>
  <c r="H325" i="344"/>
  <c r="G325" i="344"/>
  <c r="F325" i="344"/>
  <c r="E325" i="344"/>
  <c r="D325" i="344"/>
  <c r="C325" i="344"/>
  <c r="N324" i="344"/>
  <c r="M324" i="344"/>
  <c r="L324" i="344"/>
  <c r="I324" i="344"/>
  <c r="H324" i="344"/>
  <c r="G324" i="344"/>
  <c r="F324" i="344"/>
  <c r="E324" i="344"/>
  <c r="D324" i="344"/>
  <c r="C324" i="344"/>
  <c r="N323" i="344"/>
  <c r="I323" i="344"/>
  <c r="H323" i="344"/>
  <c r="G323" i="344"/>
  <c r="F323" i="344"/>
  <c r="O322" i="344"/>
  <c r="L322" i="344"/>
  <c r="K322" i="344"/>
  <c r="J322" i="344"/>
  <c r="O321" i="344"/>
  <c r="L321" i="344"/>
  <c r="K321" i="344"/>
  <c r="J321" i="344"/>
  <c r="O319" i="344"/>
  <c r="L319" i="344"/>
  <c r="K319" i="344"/>
  <c r="J319" i="344"/>
  <c r="O318" i="344"/>
  <c r="L318" i="344"/>
  <c r="K318" i="344"/>
  <c r="J318" i="344"/>
  <c r="O316" i="344"/>
  <c r="L316" i="344"/>
  <c r="L325" i="344" s="1"/>
  <c r="K316" i="344"/>
  <c r="J316" i="344"/>
  <c r="J325" i="344" s="1"/>
  <c r="O315" i="344"/>
  <c r="O324" i="344" s="1"/>
  <c r="L315" i="344"/>
  <c r="K315" i="344"/>
  <c r="K324" i="344" s="1"/>
  <c r="J315" i="344"/>
  <c r="J324" i="344" s="1"/>
  <c r="N314" i="344"/>
  <c r="M314" i="344"/>
  <c r="M323" i="344" s="1"/>
  <c r="K314" i="344"/>
  <c r="K323" i="344" s="1"/>
  <c r="F314" i="344"/>
  <c r="E314" i="344"/>
  <c r="E323" i="344" s="1"/>
  <c r="D314" i="344"/>
  <c r="D323" i="344" s="1"/>
  <c r="C314" i="344"/>
  <c r="J314" i="344" s="1"/>
  <c r="L314" i="344" s="1"/>
  <c r="L323" i="344" s="1"/>
  <c r="N312" i="344"/>
  <c r="M312" i="344"/>
  <c r="I312" i="344"/>
  <c r="H312" i="344"/>
  <c r="G312" i="344"/>
  <c r="F312" i="344"/>
  <c r="E312" i="344"/>
  <c r="D312" i="344"/>
  <c r="C312" i="344"/>
  <c r="N311" i="344"/>
  <c r="M311" i="344"/>
  <c r="I311" i="344"/>
  <c r="H311" i="344"/>
  <c r="G311" i="344"/>
  <c r="F311" i="344"/>
  <c r="E311" i="344"/>
  <c r="D311" i="344"/>
  <c r="C311" i="344"/>
  <c r="H310" i="344"/>
  <c r="K309" i="344"/>
  <c r="K414" i="344" s="1"/>
  <c r="J309" i="344"/>
  <c r="K308" i="344"/>
  <c r="K413" i="344" s="1"/>
  <c r="J308" i="344"/>
  <c r="J413" i="344" s="1"/>
  <c r="K306" i="344"/>
  <c r="J306" i="344"/>
  <c r="F306" i="344"/>
  <c r="F400" i="344" s="1"/>
  <c r="L305" i="344"/>
  <c r="O305" i="344" s="1"/>
  <c r="K305" i="344"/>
  <c r="J305" i="344"/>
  <c r="L304" i="344"/>
  <c r="O304" i="344" s="1"/>
  <c r="K304" i="344"/>
  <c r="J304" i="344"/>
  <c r="K302" i="344"/>
  <c r="J302" i="344"/>
  <c r="J312" i="344" s="1"/>
  <c r="K301" i="344"/>
  <c r="J301" i="344"/>
  <c r="N300" i="344"/>
  <c r="N310" i="344" s="1"/>
  <c r="M300" i="344"/>
  <c r="M310" i="344" s="1"/>
  <c r="J300" i="344"/>
  <c r="I300" i="344"/>
  <c r="H300" i="344"/>
  <c r="H394" i="344" s="1"/>
  <c r="H420" i="344" s="1"/>
  <c r="H426" i="344" s="1"/>
  <c r="H434" i="344" s="1"/>
  <c r="G300" i="344"/>
  <c r="F300" i="344"/>
  <c r="F310" i="344" s="1"/>
  <c r="E300" i="344"/>
  <c r="E310" i="344" s="1"/>
  <c r="D300" i="344"/>
  <c r="K300" i="344" s="1"/>
  <c r="C300" i="344"/>
  <c r="C310" i="344" s="1"/>
  <c r="N298" i="344"/>
  <c r="M298" i="344"/>
  <c r="I298" i="344"/>
  <c r="H298" i="344"/>
  <c r="G298" i="344"/>
  <c r="F298" i="344"/>
  <c r="E298" i="344"/>
  <c r="D298" i="344"/>
  <c r="C298" i="344"/>
  <c r="N297" i="344"/>
  <c r="I297" i="344"/>
  <c r="H297" i="344"/>
  <c r="G297" i="344"/>
  <c r="D297" i="344"/>
  <c r="C297" i="344"/>
  <c r="K296" i="344"/>
  <c r="K404" i="344" s="1"/>
  <c r="J296" i="344"/>
  <c r="J404" i="344" s="1"/>
  <c r="K294" i="344"/>
  <c r="K298" i="344" s="1"/>
  <c r="J294" i="344"/>
  <c r="J298" i="344" s="1"/>
  <c r="N293" i="344"/>
  <c r="M293" i="344"/>
  <c r="M297" i="344" s="1"/>
  <c r="M373" i="344" s="1"/>
  <c r="F293" i="344"/>
  <c r="F297" i="344" s="1"/>
  <c r="E293" i="344"/>
  <c r="E297" i="344" s="1"/>
  <c r="E373" i="344" s="1"/>
  <c r="D293" i="344"/>
  <c r="K293" i="344" s="1"/>
  <c r="K297" i="344" s="1"/>
  <c r="C293" i="344"/>
  <c r="N291" i="344"/>
  <c r="M291" i="344"/>
  <c r="K291" i="344"/>
  <c r="I291" i="344"/>
  <c r="H291" i="344"/>
  <c r="G291" i="344"/>
  <c r="F291" i="344"/>
  <c r="E291" i="344"/>
  <c r="D291" i="344"/>
  <c r="C291" i="344"/>
  <c r="N290" i="344"/>
  <c r="K290" i="344"/>
  <c r="I290" i="344"/>
  <c r="H290" i="344"/>
  <c r="G290" i="344"/>
  <c r="F290" i="344"/>
  <c r="E290" i="344"/>
  <c r="D290" i="344"/>
  <c r="C290" i="344"/>
  <c r="N289" i="344"/>
  <c r="I289" i="344"/>
  <c r="H289" i="344"/>
  <c r="G289" i="344"/>
  <c r="F289" i="344"/>
  <c r="D289" i="344"/>
  <c r="O287" i="344"/>
  <c r="M287" i="344"/>
  <c r="M289" i="344" s="1"/>
  <c r="K287" i="344"/>
  <c r="J287" i="344"/>
  <c r="L287" i="344" s="1"/>
  <c r="K286" i="344"/>
  <c r="J286" i="344"/>
  <c r="L286" i="344" s="1"/>
  <c r="O286" i="344" s="1"/>
  <c r="K285" i="344"/>
  <c r="J285" i="344"/>
  <c r="L285" i="344" s="1"/>
  <c r="O285" i="344" s="1"/>
  <c r="K283" i="344"/>
  <c r="J283" i="344"/>
  <c r="K282" i="344"/>
  <c r="J282" i="344"/>
  <c r="N281" i="344"/>
  <c r="M281" i="344"/>
  <c r="F281" i="344"/>
  <c r="E281" i="344"/>
  <c r="E289" i="344" s="1"/>
  <c r="D281" i="344"/>
  <c r="K281" i="344" s="1"/>
  <c r="K289" i="344" s="1"/>
  <c r="C281" i="344"/>
  <c r="F279" i="344"/>
  <c r="N278" i="344"/>
  <c r="M278" i="344"/>
  <c r="K278" i="344"/>
  <c r="J278" i="344"/>
  <c r="I278" i="344"/>
  <c r="H278" i="344"/>
  <c r="G278" i="344"/>
  <c r="F278" i="344"/>
  <c r="E278" i="344"/>
  <c r="D278" i="344"/>
  <c r="C278" i="344"/>
  <c r="N277" i="344"/>
  <c r="M277" i="344"/>
  <c r="J277" i="344"/>
  <c r="I277" i="344"/>
  <c r="H277" i="344"/>
  <c r="G277" i="344"/>
  <c r="F277" i="344"/>
  <c r="E277" i="344"/>
  <c r="D277" i="344"/>
  <c r="C277" i="344"/>
  <c r="N276" i="344"/>
  <c r="I276" i="344"/>
  <c r="H276" i="344"/>
  <c r="G276" i="344"/>
  <c r="F276" i="344"/>
  <c r="E276" i="344"/>
  <c r="K275" i="344"/>
  <c r="K410" i="344" s="1"/>
  <c r="J275" i="344"/>
  <c r="J410" i="344" s="1"/>
  <c r="K273" i="344"/>
  <c r="L273" i="344" s="1"/>
  <c r="O273" i="344" s="1"/>
  <c r="J273" i="344"/>
  <c r="O272" i="344"/>
  <c r="K272" i="344"/>
  <c r="L272" i="344" s="1"/>
  <c r="J272" i="344"/>
  <c r="O271" i="344"/>
  <c r="K271" i="344"/>
  <c r="L271" i="344" s="1"/>
  <c r="J271" i="344"/>
  <c r="O269" i="344"/>
  <c r="K269" i="344"/>
  <c r="L269" i="344" s="1"/>
  <c r="J269" i="344"/>
  <c r="K268" i="344"/>
  <c r="K277" i="344" s="1"/>
  <c r="J268" i="344"/>
  <c r="N267" i="344"/>
  <c r="M267" i="344"/>
  <c r="M276" i="344" s="1"/>
  <c r="F267" i="344"/>
  <c r="E267" i="344"/>
  <c r="D267" i="344"/>
  <c r="C267" i="344"/>
  <c r="J267" i="344" s="1"/>
  <c r="J276" i="344" s="1"/>
  <c r="N265" i="344"/>
  <c r="M265" i="344"/>
  <c r="I265" i="344"/>
  <c r="H265" i="344"/>
  <c r="G265" i="344"/>
  <c r="F265" i="344"/>
  <c r="E265" i="344"/>
  <c r="D265" i="344"/>
  <c r="C265" i="344"/>
  <c r="N264" i="344"/>
  <c r="M264" i="344"/>
  <c r="J264" i="344"/>
  <c r="I264" i="344"/>
  <c r="H264" i="344"/>
  <c r="G264" i="344"/>
  <c r="F264" i="344"/>
  <c r="E264" i="344"/>
  <c r="D264" i="344"/>
  <c r="C264" i="344"/>
  <c r="N263" i="344"/>
  <c r="I263" i="344"/>
  <c r="H263" i="344"/>
  <c r="G263" i="344"/>
  <c r="D263" i="344"/>
  <c r="C263" i="344"/>
  <c r="K261" i="344"/>
  <c r="J261" i="344"/>
  <c r="K260" i="344"/>
  <c r="J260" i="344"/>
  <c r="L260" i="344" s="1"/>
  <c r="O260" i="344" s="1"/>
  <c r="K258" i="344"/>
  <c r="K265" i="344" s="1"/>
  <c r="J258" i="344"/>
  <c r="J265" i="344" s="1"/>
  <c r="K257" i="344"/>
  <c r="J257" i="344"/>
  <c r="L257" i="344" s="1"/>
  <c r="N256" i="344"/>
  <c r="M256" i="344"/>
  <c r="M263" i="344" s="1"/>
  <c r="F256" i="344"/>
  <c r="F263" i="344" s="1"/>
  <c r="E256" i="344"/>
  <c r="E263" i="344" s="1"/>
  <c r="D256" i="344"/>
  <c r="K256" i="344" s="1"/>
  <c r="K263" i="344" s="1"/>
  <c r="C256" i="344"/>
  <c r="J256" i="344" s="1"/>
  <c r="N254" i="344"/>
  <c r="M254" i="344"/>
  <c r="K254" i="344"/>
  <c r="J254" i="344"/>
  <c r="I254" i="344"/>
  <c r="H254" i="344"/>
  <c r="G254" i="344"/>
  <c r="F254" i="344"/>
  <c r="E254" i="344"/>
  <c r="D254" i="344"/>
  <c r="C254" i="344"/>
  <c r="N253" i="344"/>
  <c r="M253" i="344"/>
  <c r="J253" i="344"/>
  <c r="I253" i="344"/>
  <c r="H253" i="344"/>
  <c r="G253" i="344"/>
  <c r="F253" i="344"/>
  <c r="E253" i="344"/>
  <c r="D253" i="344"/>
  <c r="C253" i="344"/>
  <c r="N252" i="344"/>
  <c r="N279" i="344" s="1"/>
  <c r="I252" i="344"/>
  <c r="I279" i="344" s="1"/>
  <c r="H252" i="344"/>
  <c r="H279" i="344" s="1"/>
  <c r="G252" i="344"/>
  <c r="G279" i="344" s="1"/>
  <c r="F252" i="344"/>
  <c r="E252" i="344"/>
  <c r="O250" i="344"/>
  <c r="K250" i="344"/>
  <c r="L250" i="344" s="1"/>
  <c r="J250" i="344"/>
  <c r="O248" i="344"/>
  <c r="O254" i="344" s="1"/>
  <c r="K248" i="344"/>
  <c r="L248" i="344" s="1"/>
  <c r="L254" i="344" s="1"/>
  <c r="J248" i="344"/>
  <c r="K247" i="344"/>
  <c r="K253" i="344" s="1"/>
  <c r="J247" i="344"/>
  <c r="N246" i="344"/>
  <c r="M246" i="344"/>
  <c r="M252" i="344" s="1"/>
  <c r="M279" i="344" s="1"/>
  <c r="F246" i="344"/>
  <c r="E246" i="344"/>
  <c r="D246" i="344"/>
  <c r="C246" i="344"/>
  <c r="J246" i="344" s="1"/>
  <c r="J252" i="344" s="1"/>
  <c r="N242" i="344"/>
  <c r="M242" i="344"/>
  <c r="K242" i="344"/>
  <c r="J242" i="344"/>
  <c r="I242" i="344"/>
  <c r="H242" i="344"/>
  <c r="G242" i="344"/>
  <c r="F242" i="344"/>
  <c r="E242" i="344"/>
  <c r="D242" i="344"/>
  <c r="C242" i="344"/>
  <c r="N241" i="344"/>
  <c r="M241" i="344"/>
  <c r="J241" i="344"/>
  <c r="I241" i="344"/>
  <c r="H241" i="344"/>
  <c r="G241" i="344"/>
  <c r="F241" i="344"/>
  <c r="E241" i="344"/>
  <c r="D241" i="344"/>
  <c r="C241" i="344"/>
  <c r="N240" i="344"/>
  <c r="J240" i="344"/>
  <c r="I240" i="344"/>
  <c r="H240" i="344"/>
  <c r="G240" i="344"/>
  <c r="F240" i="344"/>
  <c r="E240" i="344"/>
  <c r="O238" i="344"/>
  <c r="K238" i="344"/>
  <c r="L238" i="344" s="1"/>
  <c r="J238" i="344"/>
  <c r="O237" i="344"/>
  <c r="K237" i="344"/>
  <c r="L237" i="344" s="1"/>
  <c r="J237" i="344"/>
  <c r="O235" i="344"/>
  <c r="O242" i="344" s="1"/>
  <c r="K235" i="344"/>
  <c r="L235" i="344" s="1"/>
  <c r="L242" i="344" s="1"/>
  <c r="J235" i="344"/>
  <c r="K234" i="344"/>
  <c r="K241" i="344" s="1"/>
  <c r="J234" i="344"/>
  <c r="N233" i="344"/>
  <c r="M233" i="344"/>
  <c r="M240" i="344" s="1"/>
  <c r="F233" i="344"/>
  <c r="E233" i="344"/>
  <c r="D233" i="344"/>
  <c r="C233" i="344"/>
  <c r="J233" i="344" s="1"/>
  <c r="N231" i="344"/>
  <c r="M231" i="344"/>
  <c r="I231" i="344"/>
  <c r="H231" i="344"/>
  <c r="G231" i="344"/>
  <c r="F231" i="344"/>
  <c r="E231" i="344"/>
  <c r="D231" i="344"/>
  <c r="C231" i="344"/>
  <c r="N230" i="344"/>
  <c r="M230" i="344"/>
  <c r="J230" i="344"/>
  <c r="I230" i="344"/>
  <c r="H230" i="344"/>
  <c r="G230" i="344"/>
  <c r="F230" i="344"/>
  <c r="E230" i="344"/>
  <c r="D230" i="344"/>
  <c r="C230" i="344"/>
  <c r="N229" i="344"/>
  <c r="I229" i="344"/>
  <c r="H229" i="344"/>
  <c r="G229" i="344"/>
  <c r="D229" i="344"/>
  <c r="C229" i="344"/>
  <c r="K228" i="344"/>
  <c r="J228" i="344"/>
  <c r="K226" i="344"/>
  <c r="J226" i="344"/>
  <c r="L226" i="344" s="1"/>
  <c r="O226" i="344" s="1"/>
  <c r="K225" i="344"/>
  <c r="J225" i="344"/>
  <c r="K223" i="344"/>
  <c r="J223" i="344"/>
  <c r="J231" i="344" s="1"/>
  <c r="K222" i="344"/>
  <c r="K230" i="344" s="1"/>
  <c r="J222" i="344"/>
  <c r="N221" i="344"/>
  <c r="M221" i="344"/>
  <c r="M229" i="344" s="1"/>
  <c r="F221" i="344"/>
  <c r="F229" i="344" s="1"/>
  <c r="E221" i="344"/>
  <c r="E229" i="344" s="1"/>
  <c r="D221" i="344"/>
  <c r="K221" i="344" s="1"/>
  <c r="C221" i="344"/>
  <c r="J221" i="344" s="1"/>
  <c r="N219" i="344"/>
  <c r="M219" i="344"/>
  <c r="K219" i="344"/>
  <c r="J219" i="344"/>
  <c r="I219" i="344"/>
  <c r="H219" i="344"/>
  <c r="G219" i="344"/>
  <c r="F219" i="344"/>
  <c r="E219" i="344"/>
  <c r="D219" i="344"/>
  <c r="C219" i="344"/>
  <c r="N218" i="344"/>
  <c r="M218" i="344"/>
  <c r="J218" i="344"/>
  <c r="I218" i="344"/>
  <c r="H218" i="344"/>
  <c r="G218" i="344"/>
  <c r="F218" i="344"/>
  <c r="E218" i="344"/>
  <c r="D218" i="344"/>
  <c r="C218" i="344"/>
  <c r="N217" i="344"/>
  <c r="J217" i="344"/>
  <c r="I217" i="344"/>
  <c r="H217" i="344"/>
  <c r="G217" i="344"/>
  <c r="F217" i="344"/>
  <c r="E217" i="344"/>
  <c r="K215" i="344"/>
  <c r="L215" i="344" s="1"/>
  <c r="O215" i="344" s="1"/>
  <c r="J215" i="344"/>
  <c r="O214" i="344"/>
  <c r="K214" i="344"/>
  <c r="L214" i="344" s="1"/>
  <c r="J214" i="344"/>
  <c r="O212" i="344"/>
  <c r="O219" i="344" s="1"/>
  <c r="K212" i="344"/>
  <c r="L212" i="344" s="1"/>
  <c r="L219" i="344" s="1"/>
  <c r="J212" i="344"/>
  <c r="K211" i="344"/>
  <c r="K218" i="344" s="1"/>
  <c r="J211" i="344"/>
  <c r="N210" i="344"/>
  <c r="M210" i="344"/>
  <c r="M217" i="344" s="1"/>
  <c r="F210" i="344"/>
  <c r="E210" i="344"/>
  <c r="D210" i="344"/>
  <c r="D217" i="344" s="1"/>
  <c r="C210" i="344"/>
  <c r="J210" i="344" s="1"/>
  <c r="N208" i="344"/>
  <c r="M208" i="344"/>
  <c r="K208" i="344"/>
  <c r="I208" i="344"/>
  <c r="H208" i="344"/>
  <c r="G208" i="344"/>
  <c r="F208" i="344"/>
  <c r="E208" i="344"/>
  <c r="D208" i="344"/>
  <c r="C208" i="344"/>
  <c r="N207" i="344"/>
  <c r="M207" i="344"/>
  <c r="I207" i="344"/>
  <c r="H207" i="344"/>
  <c r="G207" i="344"/>
  <c r="F207" i="344"/>
  <c r="E207" i="344"/>
  <c r="D207" i="344"/>
  <c r="C207" i="344"/>
  <c r="I206" i="344"/>
  <c r="H206" i="344"/>
  <c r="G206" i="344"/>
  <c r="F206" i="344"/>
  <c r="D206" i="344"/>
  <c r="J205" i="344"/>
  <c r="L205" i="344" s="1"/>
  <c r="O205" i="344" s="1"/>
  <c r="K203" i="344"/>
  <c r="J203" i="344"/>
  <c r="L203" i="344" s="1"/>
  <c r="O203" i="344" s="1"/>
  <c r="K201" i="344"/>
  <c r="J201" i="344"/>
  <c r="K200" i="344"/>
  <c r="K207" i="344" s="1"/>
  <c r="J200" i="344"/>
  <c r="N199" i="344"/>
  <c r="N206" i="344" s="1"/>
  <c r="M199" i="344"/>
  <c r="M206" i="344" s="1"/>
  <c r="F199" i="344"/>
  <c r="E199" i="344"/>
  <c r="E206" i="344" s="1"/>
  <c r="D199" i="344"/>
  <c r="K199" i="344" s="1"/>
  <c r="K206" i="344" s="1"/>
  <c r="C199" i="344"/>
  <c r="C206" i="344" s="1"/>
  <c r="N197" i="344"/>
  <c r="M197" i="344"/>
  <c r="J197" i="344"/>
  <c r="I197" i="344"/>
  <c r="H197" i="344"/>
  <c r="G197" i="344"/>
  <c r="F197" i="344"/>
  <c r="E197" i="344"/>
  <c r="D197" i="344"/>
  <c r="C197" i="344"/>
  <c r="N196" i="344"/>
  <c r="M196" i="344"/>
  <c r="I196" i="344"/>
  <c r="H196" i="344"/>
  <c r="G196" i="344"/>
  <c r="F196" i="344"/>
  <c r="E196" i="344"/>
  <c r="D196" i="344"/>
  <c r="C196" i="344"/>
  <c r="M195" i="344"/>
  <c r="I195" i="344"/>
  <c r="H195" i="344"/>
  <c r="G195" i="344"/>
  <c r="D195" i="344"/>
  <c r="K193" i="344"/>
  <c r="J193" i="344"/>
  <c r="L193" i="344" s="1"/>
  <c r="O193" i="344" s="1"/>
  <c r="L192" i="344"/>
  <c r="O192" i="344" s="1"/>
  <c r="K192" i="344"/>
  <c r="J192" i="344"/>
  <c r="L190" i="344"/>
  <c r="K190" i="344"/>
  <c r="K197" i="344" s="1"/>
  <c r="J190" i="344"/>
  <c r="K189" i="344"/>
  <c r="K196" i="344" s="1"/>
  <c r="J189" i="344"/>
  <c r="L189" i="344" s="1"/>
  <c r="N188" i="344"/>
  <c r="N195" i="344" s="1"/>
  <c r="M188" i="344"/>
  <c r="F188" i="344"/>
  <c r="F195" i="344" s="1"/>
  <c r="E188" i="344"/>
  <c r="E195" i="344" s="1"/>
  <c r="D188" i="344"/>
  <c r="K188" i="344" s="1"/>
  <c r="K195" i="344" s="1"/>
  <c r="C188" i="344"/>
  <c r="C195" i="344" s="1"/>
  <c r="N186" i="344"/>
  <c r="M186" i="344"/>
  <c r="I186" i="344"/>
  <c r="H186" i="344"/>
  <c r="G186" i="344"/>
  <c r="F186" i="344"/>
  <c r="E186" i="344"/>
  <c r="D186" i="344"/>
  <c r="C186" i="344"/>
  <c r="N185" i="344"/>
  <c r="M185" i="344"/>
  <c r="I185" i="344"/>
  <c r="H185" i="344"/>
  <c r="G185" i="344"/>
  <c r="F185" i="344"/>
  <c r="E185" i="344"/>
  <c r="D185" i="344"/>
  <c r="C185" i="344"/>
  <c r="N184" i="344"/>
  <c r="I184" i="344"/>
  <c r="H184" i="344"/>
  <c r="G184" i="344"/>
  <c r="E184" i="344"/>
  <c r="D184" i="344"/>
  <c r="L182" i="344"/>
  <c r="O182" i="344" s="1"/>
  <c r="K182" i="344"/>
  <c r="J182" i="344"/>
  <c r="L181" i="344"/>
  <c r="O181" i="344" s="1"/>
  <c r="K181" i="344"/>
  <c r="J181" i="344"/>
  <c r="L180" i="344"/>
  <c r="O180" i="344" s="1"/>
  <c r="K180" i="344"/>
  <c r="J180" i="344"/>
  <c r="L178" i="344"/>
  <c r="K178" i="344"/>
  <c r="K186" i="344" s="1"/>
  <c r="J178" i="344"/>
  <c r="J186" i="344" s="1"/>
  <c r="L177" i="344"/>
  <c r="K177" i="344"/>
  <c r="K185" i="344" s="1"/>
  <c r="J177" i="344"/>
  <c r="J185" i="344" s="1"/>
  <c r="N176" i="344"/>
  <c r="M176" i="344"/>
  <c r="M184" i="344" s="1"/>
  <c r="F176" i="344"/>
  <c r="F184" i="344" s="1"/>
  <c r="E176" i="344"/>
  <c r="D176" i="344"/>
  <c r="K176" i="344" s="1"/>
  <c r="K184" i="344" s="1"/>
  <c r="C176" i="344"/>
  <c r="C184" i="344" s="1"/>
  <c r="N174" i="344"/>
  <c r="M174" i="344"/>
  <c r="K174" i="344"/>
  <c r="I174" i="344"/>
  <c r="H174" i="344"/>
  <c r="G174" i="344"/>
  <c r="F174" i="344"/>
  <c r="E174" i="344"/>
  <c r="D174" i="344"/>
  <c r="C174" i="344"/>
  <c r="N173" i="344"/>
  <c r="M173" i="344"/>
  <c r="K173" i="344"/>
  <c r="I173" i="344"/>
  <c r="H173" i="344"/>
  <c r="G173" i="344"/>
  <c r="F173" i="344"/>
  <c r="E173" i="344"/>
  <c r="D173" i="344"/>
  <c r="C173" i="344"/>
  <c r="N172" i="344"/>
  <c r="M172" i="344"/>
  <c r="I172" i="344"/>
  <c r="H172" i="344"/>
  <c r="G172" i="344"/>
  <c r="F172" i="344"/>
  <c r="C172" i="344"/>
  <c r="K170" i="344"/>
  <c r="J170" i="344"/>
  <c r="L170" i="344" s="1"/>
  <c r="O170" i="344" s="1"/>
  <c r="K169" i="344"/>
  <c r="J169" i="344"/>
  <c r="L169" i="344" s="1"/>
  <c r="O169" i="344" s="1"/>
  <c r="K167" i="344"/>
  <c r="J167" i="344"/>
  <c r="K166" i="344"/>
  <c r="J166" i="344"/>
  <c r="N165" i="344"/>
  <c r="M165" i="344"/>
  <c r="F165" i="344"/>
  <c r="E165" i="344"/>
  <c r="E172" i="344" s="1"/>
  <c r="D165" i="344"/>
  <c r="K165" i="344" s="1"/>
  <c r="K172" i="344" s="1"/>
  <c r="C165" i="344"/>
  <c r="J165" i="344" s="1"/>
  <c r="N163" i="344"/>
  <c r="M163" i="344"/>
  <c r="J163" i="344"/>
  <c r="I163" i="344"/>
  <c r="H163" i="344"/>
  <c r="G163" i="344"/>
  <c r="F163" i="344"/>
  <c r="E163" i="344"/>
  <c r="D163" i="344"/>
  <c r="C163" i="344"/>
  <c r="N162" i="344"/>
  <c r="M162" i="344"/>
  <c r="K162" i="344"/>
  <c r="J162" i="344"/>
  <c r="I162" i="344"/>
  <c r="H162" i="344"/>
  <c r="G162" i="344"/>
  <c r="F162" i="344"/>
  <c r="E162" i="344"/>
  <c r="D162" i="344"/>
  <c r="C162" i="344"/>
  <c r="M161" i="344"/>
  <c r="I161" i="344"/>
  <c r="H161" i="344"/>
  <c r="G161" i="344"/>
  <c r="E161" i="344"/>
  <c r="D161" i="344"/>
  <c r="L160" i="344"/>
  <c r="K160" i="344"/>
  <c r="K405" i="344" s="1"/>
  <c r="J160" i="344"/>
  <c r="J405" i="344" s="1"/>
  <c r="L158" i="344"/>
  <c r="O158" i="344" s="1"/>
  <c r="K158" i="344"/>
  <c r="J158" i="344"/>
  <c r="L157" i="344"/>
  <c r="O157" i="344" s="1"/>
  <c r="K157" i="344"/>
  <c r="J157" i="344"/>
  <c r="L156" i="344"/>
  <c r="O156" i="344" s="1"/>
  <c r="K156" i="344"/>
  <c r="J156" i="344"/>
  <c r="L154" i="344"/>
  <c r="K154" i="344"/>
  <c r="K163" i="344" s="1"/>
  <c r="J154" i="344"/>
  <c r="L153" i="344"/>
  <c r="K153" i="344"/>
  <c r="J153" i="344"/>
  <c r="N152" i="344"/>
  <c r="N161" i="344" s="1"/>
  <c r="M152" i="344"/>
  <c r="F152" i="344"/>
  <c r="F161" i="344" s="1"/>
  <c r="E152" i="344"/>
  <c r="D152" i="344"/>
  <c r="K152" i="344" s="1"/>
  <c r="K161" i="344" s="1"/>
  <c r="C152" i="344"/>
  <c r="C161" i="344" s="1"/>
  <c r="N150" i="344"/>
  <c r="M150" i="344"/>
  <c r="K150" i="344"/>
  <c r="I150" i="344"/>
  <c r="H150" i="344"/>
  <c r="G150" i="344"/>
  <c r="F150" i="344"/>
  <c r="E150" i="344"/>
  <c r="D150" i="344"/>
  <c r="C150" i="344"/>
  <c r="N149" i="344"/>
  <c r="M149" i="344"/>
  <c r="K149" i="344"/>
  <c r="I149" i="344"/>
  <c r="H149" i="344"/>
  <c r="G149" i="344"/>
  <c r="F149" i="344"/>
  <c r="E149" i="344"/>
  <c r="D149" i="344"/>
  <c r="C149" i="344"/>
  <c r="N148" i="344"/>
  <c r="M148" i="344"/>
  <c r="I148" i="344"/>
  <c r="H148" i="344"/>
  <c r="G148" i="344"/>
  <c r="F148" i="344"/>
  <c r="C148" i="344"/>
  <c r="K146" i="344"/>
  <c r="J146" i="344"/>
  <c r="L146" i="344" s="1"/>
  <c r="O146" i="344" s="1"/>
  <c r="K145" i="344"/>
  <c r="J145" i="344"/>
  <c r="L145" i="344" s="1"/>
  <c r="O145" i="344" s="1"/>
  <c r="K143" i="344"/>
  <c r="J143" i="344"/>
  <c r="K142" i="344"/>
  <c r="J142" i="344"/>
  <c r="N141" i="344"/>
  <c r="M141" i="344"/>
  <c r="F141" i="344"/>
  <c r="E141" i="344"/>
  <c r="E148" i="344" s="1"/>
  <c r="D141" i="344"/>
  <c r="K141" i="344" s="1"/>
  <c r="K148" i="344" s="1"/>
  <c r="C141" i="344"/>
  <c r="N139" i="344"/>
  <c r="M139" i="344"/>
  <c r="J139" i="344"/>
  <c r="I139" i="344"/>
  <c r="H139" i="344"/>
  <c r="G139" i="344"/>
  <c r="F139" i="344"/>
  <c r="E139" i="344"/>
  <c r="D139" i="344"/>
  <c r="C139" i="344"/>
  <c r="N138" i="344"/>
  <c r="M138" i="344"/>
  <c r="K138" i="344"/>
  <c r="J138" i="344"/>
  <c r="I138" i="344"/>
  <c r="H138" i="344"/>
  <c r="G138" i="344"/>
  <c r="F138" i="344"/>
  <c r="E138" i="344"/>
  <c r="D138" i="344"/>
  <c r="C138" i="344"/>
  <c r="M137" i="344"/>
  <c r="I137" i="344"/>
  <c r="H137" i="344"/>
  <c r="G137" i="344"/>
  <c r="E137" i="344"/>
  <c r="D137" i="344"/>
  <c r="L135" i="344"/>
  <c r="O135" i="344" s="1"/>
  <c r="K135" i="344"/>
  <c r="J135" i="344"/>
  <c r="L134" i="344"/>
  <c r="O134" i="344" s="1"/>
  <c r="K134" i="344"/>
  <c r="J134" i="344"/>
  <c r="L133" i="344"/>
  <c r="O133" i="344" s="1"/>
  <c r="K133" i="344"/>
  <c r="J133" i="344"/>
  <c r="L132" i="344"/>
  <c r="O132" i="344" s="1"/>
  <c r="K132" i="344"/>
  <c r="J132" i="344"/>
  <c r="L130" i="344"/>
  <c r="K130" i="344"/>
  <c r="K139" i="344" s="1"/>
  <c r="J130" i="344"/>
  <c r="L129" i="344"/>
  <c r="K129" i="344"/>
  <c r="J129" i="344"/>
  <c r="N128" i="344"/>
  <c r="N137" i="344" s="1"/>
  <c r="M128" i="344"/>
  <c r="F128" i="344"/>
  <c r="F137" i="344" s="1"/>
  <c r="E128" i="344"/>
  <c r="D128" i="344"/>
  <c r="K128" i="344" s="1"/>
  <c r="K137" i="344" s="1"/>
  <c r="C128" i="344"/>
  <c r="C137" i="344" s="1"/>
  <c r="N126" i="344"/>
  <c r="M126" i="344"/>
  <c r="K126" i="344"/>
  <c r="I126" i="344"/>
  <c r="H126" i="344"/>
  <c r="G126" i="344"/>
  <c r="F126" i="344"/>
  <c r="E126" i="344"/>
  <c r="D126" i="344"/>
  <c r="C126" i="344"/>
  <c r="N125" i="344"/>
  <c r="M125" i="344"/>
  <c r="K125" i="344"/>
  <c r="I125" i="344"/>
  <c r="H125" i="344"/>
  <c r="G125" i="344"/>
  <c r="F125" i="344"/>
  <c r="E125" i="344"/>
  <c r="D125" i="344"/>
  <c r="C125" i="344"/>
  <c r="N124" i="344"/>
  <c r="M124" i="344"/>
  <c r="I124" i="344"/>
  <c r="H124" i="344"/>
  <c r="G124" i="344"/>
  <c r="F124" i="344"/>
  <c r="C124" i="344"/>
  <c r="K122" i="344"/>
  <c r="J122" i="344"/>
  <c r="L122" i="344" s="1"/>
  <c r="O122" i="344" s="1"/>
  <c r="K121" i="344"/>
  <c r="J121" i="344"/>
  <c r="L121" i="344" s="1"/>
  <c r="O121" i="344" s="1"/>
  <c r="K120" i="344"/>
  <c r="J120" i="344"/>
  <c r="L120" i="344" s="1"/>
  <c r="O120" i="344" s="1"/>
  <c r="K119" i="344"/>
  <c r="J119" i="344"/>
  <c r="L119" i="344" s="1"/>
  <c r="O119" i="344" s="1"/>
  <c r="K117" i="344"/>
  <c r="J117" i="344"/>
  <c r="K116" i="344"/>
  <c r="J116" i="344"/>
  <c r="N115" i="344"/>
  <c r="M115" i="344"/>
  <c r="F115" i="344"/>
  <c r="E115" i="344"/>
  <c r="E124" i="344" s="1"/>
  <c r="D115" i="344"/>
  <c r="K115" i="344" s="1"/>
  <c r="K124" i="344" s="1"/>
  <c r="C115" i="344"/>
  <c r="J115" i="344" s="1"/>
  <c r="N113" i="344"/>
  <c r="M113" i="344"/>
  <c r="J113" i="344"/>
  <c r="I113" i="344"/>
  <c r="H113" i="344"/>
  <c r="G113" i="344"/>
  <c r="F113" i="344"/>
  <c r="E113" i="344"/>
  <c r="D113" i="344"/>
  <c r="C113" i="344"/>
  <c r="N112" i="344"/>
  <c r="M112" i="344"/>
  <c r="K112" i="344"/>
  <c r="J112" i="344"/>
  <c r="I112" i="344"/>
  <c r="H112" i="344"/>
  <c r="G112" i="344"/>
  <c r="F112" i="344"/>
  <c r="E112" i="344"/>
  <c r="D112" i="344"/>
  <c r="C112" i="344"/>
  <c r="M111" i="344"/>
  <c r="M243" i="344" s="1"/>
  <c r="I111" i="344"/>
  <c r="I243" i="344" s="1"/>
  <c r="H111" i="344"/>
  <c r="H243" i="344" s="1"/>
  <c r="G111" i="344"/>
  <c r="E111" i="344"/>
  <c r="E243" i="344" s="1"/>
  <c r="D111" i="344"/>
  <c r="L109" i="344"/>
  <c r="O109" i="344" s="1"/>
  <c r="K109" i="344"/>
  <c r="J109" i="344"/>
  <c r="L108" i="344"/>
  <c r="O108" i="344" s="1"/>
  <c r="K108" i="344"/>
  <c r="J108" i="344"/>
  <c r="L106" i="344"/>
  <c r="K106" i="344"/>
  <c r="K113" i="344" s="1"/>
  <c r="J106" i="344"/>
  <c r="L105" i="344"/>
  <c r="K105" i="344"/>
  <c r="J105" i="344"/>
  <c r="N104" i="344"/>
  <c r="N111" i="344" s="1"/>
  <c r="M104" i="344"/>
  <c r="F104" i="344"/>
  <c r="F111" i="344" s="1"/>
  <c r="E104" i="344"/>
  <c r="D104" i="344"/>
  <c r="K104" i="344" s="1"/>
  <c r="K111" i="344" s="1"/>
  <c r="C104" i="344"/>
  <c r="C111" i="344" s="1"/>
  <c r="N101" i="344"/>
  <c r="M101" i="344"/>
  <c r="I101" i="344"/>
  <c r="H101" i="344"/>
  <c r="G101" i="344"/>
  <c r="F101" i="344"/>
  <c r="E101" i="344"/>
  <c r="D101" i="344"/>
  <c r="C101" i="344"/>
  <c r="N100" i="344"/>
  <c r="M100" i="344"/>
  <c r="J100" i="344"/>
  <c r="I100" i="344"/>
  <c r="H100" i="344"/>
  <c r="G100" i="344"/>
  <c r="F100" i="344"/>
  <c r="E100" i="344"/>
  <c r="D100" i="344"/>
  <c r="C100" i="344"/>
  <c r="N99" i="344"/>
  <c r="I99" i="344"/>
  <c r="H99" i="344"/>
  <c r="G99" i="344"/>
  <c r="E99" i="344"/>
  <c r="D99" i="344"/>
  <c r="K97" i="344"/>
  <c r="K402" i="344" s="1"/>
  <c r="J97" i="344"/>
  <c r="J402" i="344" s="1"/>
  <c r="K96" i="344"/>
  <c r="J96" i="344"/>
  <c r="K95" i="344"/>
  <c r="J95" i="344"/>
  <c r="L95" i="344" s="1"/>
  <c r="O95" i="344" s="1"/>
  <c r="K94" i="344"/>
  <c r="K99" i="344" s="1"/>
  <c r="J94" i="344"/>
  <c r="K92" i="344"/>
  <c r="K101" i="344" s="1"/>
  <c r="J92" i="344"/>
  <c r="J101" i="344" s="1"/>
  <c r="K91" i="344"/>
  <c r="K100" i="344" s="1"/>
  <c r="J91" i="344"/>
  <c r="N90" i="344"/>
  <c r="M90" i="344"/>
  <c r="M99" i="344" s="1"/>
  <c r="K90" i="344"/>
  <c r="F90" i="344"/>
  <c r="F99" i="344" s="1"/>
  <c r="C90" i="344"/>
  <c r="C99" i="344" s="1"/>
  <c r="N88" i="344"/>
  <c r="M88" i="344"/>
  <c r="I88" i="344"/>
  <c r="H88" i="344"/>
  <c r="G88" i="344"/>
  <c r="F88" i="344"/>
  <c r="E88" i="344"/>
  <c r="D88" i="344"/>
  <c r="C88" i="344"/>
  <c r="N87" i="344"/>
  <c r="M87" i="344"/>
  <c r="J87" i="344"/>
  <c r="I87" i="344"/>
  <c r="H87" i="344"/>
  <c r="G87" i="344"/>
  <c r="F87" i="344"/>
  <c r="E87" i="344"/>
  <c r="D87" i="344"/>
  <c r="C87" i="344"/>
  <c r="N86" i="344"/>
  <c r="I86" i="344"/>
  <c r="H86" i="344"/>
  <c r="G86" i="344"/>
  <c r="E86" i="344"/>
  <c r="D86" i="344"/>
  <c r="K84" i="344"/>
  <c r="J84" i="344"/>
  <c r="L84" i="344" s="1"/>
  <c r="O84" i="344" s="1"/>
  <c r="K83" i="344"/>
  <c r="K86" i="344" s="1"/>
  <c r="J83" i="344"/>
  <c r="K81" i="344"/>
  <c r="K88" i="344" s="1"/>
  <c r="J81" i="344"/>
  <c r="J88" i="344" s="1"/>
  <c r="K80" i="344"/>
  <c r="K87" i="344" s="1"/>
  <c r="J80" i="344"/>
  <c r="N79" i="344"/>
  <c r="M79" i="344"/>
  <c r="M86" i="344" s="1"/>
  <c r="K79" i="344"/>
  <c r="F79" i="344"/>
  <c r="F86" i="344" s="1"/>
  <c r="C79" i="344"/>
  <c r="C86" i="344" s="1"/>
  <c r="N77" i="344"/>
  <c r="M77" i="344"/>
  <c r="I77" i="344"/>
  <c r="H77" i="344"/>
  <c r="G77" i="344"/>
  <c r="F77" i="344"/>
  <c r="E77" i="344"/>
  <c r="D77" i="344"/>
  <c r="C77" i="344"/>
  <c r="N76" i="344"/>
  <c r="M76" i="344"/>
  <c r="J76" i="344"/>
  <c r="I76" i="344"/>
  <c r="H76" i="344"/>
  <c r="G76" i="344"/>
  <c r="F76" i="344"/>
  <c r="E76" i="344"/>
  <c r="D76" i="344"/>
  <c r="C76" i="344"/>
  <c r="N75" i="344"/>
  <c r="I75" i="344"/>
  <c r="H75" i="344"/>
  <c r="G75" i="344"/>
  <c r="E75" i="344"/>
  <c r="D75" i="344"/>
  <c r="K74" i="344"/>
  <c r="J74" i="344"/>
  <c r="L74" i="344" s="1"/>
  <c r="O74" i="344" s="1"/>
  <c r="K72" i="344"/>
  <c r="J72" i="344"/>
  <c r="K71" i="344"/>
  <c r="K399" i="344" s="1"/>
  <c r="J71" i="344"/>
  <c r="L71" i="344" s="1"/>
  <c r="K70" i="344"/>
  <c r="J70" i="344"/>
  <c r="K69" i="344"/>
  <c r="J69" i="344"/>
  <c r="L69" i="344" s="1"/>
  <c r="O69" i="344" s="1"/>
  <c r="K67" i="344"/>
  <c r="K77" i="344" s="1"/>
  <c r="J67" i="344"/>
  <c r="J77" i="344" s="1"/>
  <c r="K66" i="344"/>
  <c r="J66" i="344"/>
  <c r="L66" i="344" s="1"/>
  <c r="N65" i="344"/>
  <c r="M65" i="344"/>
  <c r="M75" i="344" s="1"/>
  <c r="K65" i="344"/>
  <c r="F65" i="344"/>
  <c r="F75" i="344" s="1"/>
  <c r="C65" i="344"/>
  <c r="C75" i="344" s="1"/>
  <c r="N63" i="344"/>
  <c r="M63" i="344"/>
  <c r="I63" i="344"/>
  <c r="H63" i="344"/>
  <c r="G63" i="344"/>
  <c r="F63" i="344"/>
  <c r="E63" i="344"/>
  <c r="D63" i="344"/>
  <c r="C63" i="344"/>
  <c r="N62" i="344"/>
  <c r="M62" i="344"/>
  <c r="J62" i="344"/>
  <c r="I62" i="344"/>
  <c r="H62" i="344"/>
  <c r="G62" i="344"/>
  <c r="F62" i="344"/>
  <c r="E62" i="344"/>
  <c r="D62" i="344"/>
  <c r="C62" i="344"/>
  <c r="N61" i="344"/>
  <c r="I61" i="344"/>
  <c r="H61" i="344"/>
  <c r="G61" i="344"/>
  <c r="E61" i="344"/>
  <c r="D61" i="344"/>
  <c r="K60" i="344"/>
  <c r="K408" i="344" s="1"/>
  <c r="J60" i="344"/>
  <c r="K58" i="344"/>
  <c r="J58" i="344"/>
  <c r="L58" i="344" s="1"/>
  <c r="O58" i="344" s="1"/>
  <c r="K56" i="344"/>
  <c r="K63" i="344" s="1"/>
  <c r="J56" i="344"/>
  <c r="K55" i="344"/>
  <c r="K62" i="344" s="1"/>
  <c r="J55" i="344"/>
  <c r="L55" i="344" s="1"/>
  <c r="N54" i="344"/>
  <c r="M54" i="344"/>
  <c r="M61" i="344" s="1"/>
  <c r="K54" i="344"/>
  <c r="F54" i="344"/>
  <c r="F61" i="344" s="1"/>
  <c r="C54" i="344"/>
  <c r="C61" i="344" s="1"/>
  <c r="N52" i="344"/>
  <c r="M52" i="344"/>
  <c r="I52" i="344"/>
  <c r="H52" i="344"/>
  <c r="G52" i="344"/>
  <c r="F52" i="344"/>
  <c r="E52" i="344"/>
  <c r="D52" i="344"/>
  <c r="C52" i="344"/>
  <c r="N51" i="344"/>
  <c r="M51" i="344"/>
  <c r="I51" i="344"/>
  <c r="H51" i="344"/>
  <c r="G51" i="344"/>
  <c r="F51" i="344"/>
  <c r="E51" i="344"/>
  <c r="D51" i="344"/>
  <c r="C51" i="344"/>
  <c r="N50" i="344"/>
  <c r="I50" i="344"/>
  <c r="H50" i="344"/>
  <c r="G50" i="344"/>
  <c r="E50" i="344"/>
  <c r="D50" i="344"/>
  <c r="K48" i="344"/>
  <c r="J48" i="344"/>
  <c r="K47" i="344"/>
  <c r="K398" i="344" s="1"/>
  <c r="J47" i="344"/>
  <c r="K46" i="344"/>
  <c r="K50" i="344" s="1"/>
  <c r="J46" i="344"/>
  <c r="K44" i="344"/>
  <c r="K52" i="344" s="1"/>
  <c r="J44" i="344"/>
  <c r="K43" i="344"/>
  <c r="K51" i="344" s="1"/>
  <c r="J43" i="344"/>
  <c r="N42" i="344"/>
  <c r="M42" i="344"/>
  <c r="M50" i="344" s="1"/>
  <c r="K42" i="344"/>
  <c r="F42" i="344"/>
  <c r="F50" i="344" s="1"/>
  <c r="C42" i="344"/>
  <c r="J42" i="344" s="1"/>
  <c r="J50" i="344" s="1"/>
  <c r="N40" i="344"/>
  <c r="M40" i="344"/>
  <c r="I40" i="344"/>
  <c r="H40" i="344"/>
  <c r="G40" i="344"/>
  <c r="F40" i="344"/>
  <c r="E40" i="344"/>
  <c r="D40" i="344"/>
  <c r="C40" i="344"/>
  <c r="N39" i="344"/>
  <c r="M39" i="344"/>
  <c r="I39" i="344"/>
  <c r="H39" i="344"/>
  <c r="G39" i="344"/>
  <c r="F39" i="344"/>
  <c r="E39" i="344"/>
  <c r="D39" i="344"/>
  <c r="C39" i="344"/>
  <c r="N38" i="344"/>
  <c r="N102" i="344" s="1"/>
  <c r="I38" i="344"/>
  <c r="I102" i="344" s="1"/>
  <c r="H38" i="344"/>
  <c r="H102" i="344" s="1"/>
  <c r="G38" i="344"/>
  <c r="G102" i="344" s="1"/>
  <c r="E38" i="344"/>
  <c r="E102" i="344" s="1"/>
  <c r="D38" i="344"/>
  <c r="D102" i="344" s="1"/>
  <c r="K36" i="344"/>
  <c r="K38" i="344" s="1"/>
  <c r="J36" i="344"/>
  <c r="K34" i="344"/>
  <c r="K40" i="344" s="1"/>
  <c r="J34" i="344"/>
  <c r="K33" i="344"/>
  <c r="K39" i="344" s="1"/>
  <c r="J33" i="344"/>
  <c r="N32" i="344"/>
  <c r="M32" i="344"/>
  <c r="M38" i="344" s="1"/>
  <c r="L32" i="344"/>
  <c r="O32" i="344" s="1"/>
  <c r="K32" i="344"/>
  <c r="F32" i="344"/>
  <c r="F38" i="344" s="1"/>
  <c r="C32" i="344"/>
  <c r="J32" i="344" s="1"/>
  <c r="N29" i="344"/>
  <c r="M29" i="344"/>
  <c r="J29" i="344"/>
  <c r="I29" i="344"/>
  <c r="H29" i="344"/>
  <c r="G29" i="344"/>
  <c r="F29" i="344"/>
  <c r="E29" i="344"/>
  <c r="D29" i="344"/>
  <c r="C29" i="344"/>
  <c r="N28" i="344"/>
  <c r="M28" i="344"/>
  <c r="I28" i="344"/>
  <c r="H28" i="344"/>
  <c r="G28" i="344"/>
  <c r="F28" i="344"/>
  <c r="E28" i="344"/>
  <c r="D28" i="344"/>
  <c r="C28" i="344"/>
  <c r="I27" i="344"/>
  <c r="H27" i="344"/>
  <c r="G27" i="344"/>
  <c r="E27" i="344"/>
  <c r="D27" i="344"/>
  <c r="K25" i="344"/>
  <c r="K27" i="344" s="1"/>
  <c r="J25" i="344"/>
  <c r="L25" i="344" s="1"/>
  <c r="O25" i="344" s="1"/>
  <c r="K24" i="344"/>
  <c r="J24" i="344"/>
  <c r="J28" i="344" s="1"/>
  <c r="L23" i="344"/>
  <c r="O23" i="344" s="1"/>
  <c r="K23" i="344"/>
  <c r="J23" i="344"/>
  <c r="L21" i="344"/>
  <c r="K21" i="344"/>
  <c r="K29" i="344" s="1"/>
  <c r="J21" i="344"/>
  <c r="L20" i="344"/>
  <c r="O20" i="344" s="1"/>
  <c r="K20" i="344"/>
  <c r="K28" i="344" s="1"/>
  <c r="J20" i="344"/>
  <c r="N19" i="344"/>
  <c r="N27" i="344" s="1"/>
  <c r="M19" i="344"/>
  <c r="M27" i="344" s="1"/>
  <c r="K19" i="344"/>
  <c r="J19" i="344"/>
  <c r="J27" i="344" s="1"/>
  <c r="F19" i="344"/>
  <c r="F27" i="344" s="1"/>
  <c r="C19" i="344"/>
  <c r="C27" i="344" s="1"/>
  <c r="N17" i="344"/>
  <c r="N422" i="344" s="1"/>
  <c r="N430" i="344" s="1"/>
  <c r="M17" i="344"/>
  <c r="M422" i="344" s="1"/>
  <c r="M430" i="344" s="1"/>
  <c r="J17" i="344"/>
  <c r="I17" i="344"/>
  <c r="H17" i="344"/>
  <c r="G17" i="344"/>
  <c r="G422" i="344" s="1"/>
  <c r="G430" i="344" s="1"/>
  <c r="F17" i="344"/>
  <c r="F422" i="344" s="1"/>
  <c r="F430" i="344" s="1"/>
  <c r="E17" i="344"/>
  <c r="D17" i="344"/>
  <c r="C17" i="344"/>
  <c r="C422" i="344" s="1"/>
  <c r="C430" i="344" s="1"/>
  <c r="N16" i="344"/>
  <c r="K16" i="344"/>
  <c r="J16" i="344"/>
  <c r="I16" i="344"/>
  <c r="H16" i="344"/>
  <c r="H421" i="344" s="1"/>
  <c r="H429" i="344" s="1"/>
  <c r="G16" i="344"/>
  <c r="G421" i="344" s="1"/>
  <c r="G429" i="344" s="1"/>
  <c r="F16" i="344"/>
  <c r="E16" i="344"/>
  <c r="D16" i="344"/>
  <c r="D421" i="344" s="1"/>
  <c r="D429" i="344" s="1"/>
  <c r="C16" i="344"/>
  <c r="C421" i="344" s="1"/>
  <c r="C429" i="344" s="1"/>
  <c r="I15" i="344"/>
  <c r="I30" i="344" s="1"/>
  <c r="I244" i="344" s="1"/>
  <c r="H15" i="344"/>
  <c r="H30" i="344" s="1"/>
  <c r="H244" i="344" s="1"/>
  <c r="G15" i="344"/>
  <c r="G30" i="344" s="1"/>
  <c r="F15" i="344"/>
  <c r="E15" i="344"/>
  <c r="E30" i="344" s="1"/>
  <c r="E244" i="344" s="1"/>
  <c r="M13" i="344"/>
  <c r="M400" i="344" s="1"/>
  <c r="L13" i="344"/>
  <c r="O13" i="344" s="1"/>
  <c r="K13" i="344"/>
  <c r="J13" i="344"/>
  <c r="O12" i="344"/>
  <c r="L12" i="344"/>
  <c r="K12" i="344"/>
  <c r="J12" i="344"/>
  <c r="O11" i="344"/>
  <c r="L11" i="344"/>
  <c r="K11" i="344"/>
  <c r="J11" i="344"/>
  <c r="O9" i="344"/>
  <c r="O17" i="344" s="1"/>
  <c r="L9" i="344"/>
  <c r="L17" i="344" s="1"/>
  <c r="K9" i="344"/>
  <c r="K17" i="344" s="1"/>
  <c r="J9" i="344"/>
  <c r="O8" i="344"/>
  <c r="O16" i="344" s="1"/>
  <c r="L8" i="344"/>
  <c r="L16" i="344" s="1"/>
  <c r="K8" i="344"/>
  <c r="J8" i="344"/>
  <c r="N7" i="344"/>
  <c r="N15" i="344" s="1"/>
  <c r="N30" i="344" s="1"/>
  <c r="M7" i="344"/>
  <c r="F7" i="344"/>
  <c r="E7" i="344"/>
  <c r="E394" i="344" s="1"/>
  <c r="E420" i="344" s="1"/>
  <c r="D7" i="344"/>
  <c r="D394" i="344" s="1"/>
  <c r="D420" i="344" s="1"/>
  <c r="C7" i="344"/>
  <c r="C15" i="344" s="1"/>
  <c r="P15" i="344" l="1"/>
  <c r="I374" i="344"/>
  <c r="I393" i="344" s="1"/>
  <c r="O28" i="344"/>
  <c r="P27" i="344" s="1"/>
  <c r="C30" i="344"/>
  <c r="D426" i="344"/>
  <c r="D434" i="344" s="1"/>
  <c r="D428" i="344"/>
  <c r="K421" i="344"/>
  <c r="K429" i="344" s="1"/>
  <c r="L29" i="344"/>
  <c r="O21" i="344"/>
  <c r="O29" i="344" s="1"/>
  <c r="J398" i="344"/>
  <c r="L47" i="344"/>
  <c r="O66" i="344"/>
  <c r="C243" i="344"/>
  <c r="J104" i="344"/>
  <c r="L113" i="344"/>
  <c r="O106" i="344"/>
  <c r="O113" i="344" s="1"/>
  <c r="L139" i="344"/>
  <c r="O130" i="344"/>
  <c r="O139" i="344" s="1"/>
  <c r="L142" i="344"/>
  <c r="J149" i="344"/>
  <c r="J174" i="344"/>
  <c r="L167" i="344"/>
  <c r="L186" i="344"/>
  <c r="O178" i="344"/>
  <c r="O186" i="344" s="1"/>
  <c r="E428" i="344"/>
  <c r="E426" i="344"/>
  <c r="E434" i="344" s="1"/>
  <c r="J396" i="344"/>
  <c r="J397" i="344"/>
  <c r="J400" i="344"/>
  <c r="F30" i="344"/>
  <c r="J38" i="344"/>
  <c r="M102" i="344"/>
  <c r="J40" i="344"/>
  <c r="J422" i="344" s="1"/>
  <c r="J430" i="344" s="1"/>
  <c r="L34" i="344"/>
  <c r="C38" i="344"/>
  <c r="L62" i="344"/>
  <c r="O55" i="344"/>
  <c r="O62" i="344" s="1"/>
  <c r="K76" i="344"/>
  <c r="K75" i="344"/>
  <c r="L112" i="344"/>
  <c r="O105" i="344"/>
  <c r="O112" i="344" s="1"/>
  <c r="P111" i="344" s="1"/>
  <c r="L138" i="344"/>
  <c r="O129" i="344"/>
  <c r="O138" i="344" s="1"/>
  <c r="P137" i="344" s="1"/>
  <c r="J141" i="344"/>
  <c r="L185" i="344"/>
  <c r="O177" i="344"/>
  <c r="O185" i="344" s="1"/>
  <c r="P184" i="344" s="1"/>
  <c r="L196" i="344"/>
  <c r="O189" i="344"/>
  <c r="O196" i="344" s="1"/>
  <c r="P195" i="344" s="1"/>
  <c r="O190" i="344"/>
  <c r="O197" i="344" s="1"/>
  <c r="L197" i="344"/>
  <c r="J199" i="344"/>
  <c r="L221" i="344"/>
  <c r="J229" i="344"/>
  <c r="F373" i="344"/>
  <c r="K7" i="344"/>
  <c r="J52" i="344"/>
  <c r="L44" i="344"/>
  <c r="J126" i="344"/>
  <c r="L117" i="344"/>
  <c r="J128" i="344"/>
  <c r="J176" i="344"/>
  <c r="O257" i="344"/>
  <c r="J310" i="344"/>
  <c r="L300" i="344"/>
  <c r="F394" i="344"/>
  <c r="F420" i="344" s="1"/>
  <c r="M394" i="344"/>
  <c r="M420" i="344" s="1"/>
  <c r="K396" i="344"/>
  <c r="K397" i="344"/>
  <c r="K400" i="344"/>
  <c r="E421" i="344"/>
  <c r="I421" i="344"/>
  <c r="I429" i="344" s="1"/>
  <c r="M16" i="344"/>
  <c r="D422" i="344"/>
  <c r="H422" i="344"/>
  <c r="H430" i="344" s="1"/>
  <c r="L19" i="344"/>
  <c r="L24" i="344"/>
  <c r="O24" i="344" s="1"/>
  <c r="O397" i="344" s="1"/>
  <c r="F102" i="344"/>
  <c r="L43" i="344"/>
  <c r="L46" i="344"/>
  <c r="O46" i="344" s="1"/>
  <c r="L48" i="344"/>
  <c r="O48" i="344" s="1"/>
  <c r="J51" i="344"/>
  <c r="L70" i="344"/>
  <c r="O70" i="344" s="1"/>
  <c r="L72" i="344"/>
  <c r="O72" i="344" s="1"/>
  <c r="O400" i="344" s="1"/>
  <c r="L80" i="344"/>
  <c r="L83" i="344"/>
  <c r="O83" i="344" s="1"/>
  <c r="L91" i="344"/>
  <c r="L94" i="344"/>
  <c r="O94" i="344" s="1"/>
  <c r="L96" i="344"/>
  <c r="O96" i="344" s="1"/>
  <c r="N243" i="344"/>
  <c r="N244" i="344" s="1"/>
  <c r="N374" i="344" s="1"/>
  <c r="N393" i="344" s="1"/>
  <c r="L116" i="344"/>
  <c r="J125" i="344"/>
  <c r="J150" i="344"/>
  <c r="L143" i="344"/>
  <c r="J152" i="344"/>
  <c r="L163" i="344"/>
  <c r="O154" i="344"/>
  <c r="O160" i="344"/>
  <c r="L166" i="344"/>
  <c r="J173" i="344"/>
  <c r="D252" i="344"/>
  <c r="K246" i="344"/>
  <c r="K252" i="344" s="1"/>
  <c r="K279" i="344" s="1"/>
  <c r="D276" i="344"/>
  <c r="K267" i="344"/>
  <c r="K276" i="344" s="1"/>
  <c r="M15" i="344"/>
  <c r="M30" i="344" s="1"/>
  <c r="M244" i="344" s="1"/>
  <c r="M374" i="344" s="1"/>
  <c r="M393" i="344" s="1"/>
  <c r="C50" i="344"/>
  <c r="L399" i="344"/>
  <c r="O71" i="344"/>
  <c r="O399" i="344" s="1"/>
  <c r="L200" i="344"/>
  <c r="J207" i="344"/>
  <c r="C394" i="344"/>
  <c r="C420" i="344" s="1"/>
  <c r="J7" i="344"/>
  <c r="N394" i="344"/>
  <c r="N420" i="344" s="1"/>
  <c r="L397" i="344"/>
  <c r="D15" i="344"/>
  <c r="D30" i="344" s="1"/>
  <c r="F421" i="344"/>
  <c r="F429" i="344" s="1"/>
  <c r="J421" i="344"/>
  <c r="J429" i="344" s="1"/>
  <c r="N421" i="344"/>
  <c r="N429" i="344" s="1"/>
  <c r="E422" i="344"/>
  <c r="I422" i="344"/>
  <c r="I430" i="344" s="1"/>
  <c r="L33" i="344"/>
  <c r="L36" i="344"/>
  <c r="O36" i="344" s="1"/>
  <c r="O38" i="344" s="1"/>
  <c r="J39" i="344"/>
  <c r="L42" i="344"/>
  <c r="J54" i="344"/>
  <c r="J63" i="344"/>
  <c r="L56" i="344"/>
  <c r="J408" i="344"/>
  <c r="L60" i="344"/>
  <c r="K61" i="344"/>
  <c r="K102" i="344" s="1"/>
  <c r="F243" i="344"/>
  <c r="J124" i="344"/>
  <c r="L115" i="344"/>
  <c r="L162" i="344"/>
  <c r="O153" i="344"/>
  <c r="O162" i="344" s="1"/>
  <c r="J172" i="344"/>
  <c r="L165" i="344"/>
  <c r="D240" i="344"/>
  <c r="K233" i="344"/>
  <c r="K240" i="344" s="1"/>
  <c r="E279" i="344"/>
  <c r="E374" i="344" s="1"/>
  <c r="E393" i="344" s="1"/>
  <c r="J65" i="344"/>
  <c r="L67" i="344"/>
  <c r="J79" i="344"/>
  <c r="L81" i="344"/>
  <c r="J90" i="344"/>
  <c r="L92" i="344"/>
  <c r="L97" i="344"/>
  <c r="D124" i="344"/>
  <c r="D148" i="344"/>
  <c r="D172" i="344"/>
  <c r="K229" i="344"/>
  <c r="K231" i="344"/>
  <c r="K422" i="344" s="1"/>
  <c r="K264" i="344"/>
  <c r="J290" i="344"/>
  <c r="L282" i="344"/>
  <c r="J293" i="344"/>
  <c r="M435" i="344"/>
  <c r="G243" i="344"/>
  <c r="G244" i="344" s="1"/>
  <c r="L201" i="344"/>
  <c r="J208" i="344"/>
  <c r="K210" i="344"/>
  <c r="K217" i="344" s="1"/>
  <c r="K243" i="344" s="1"/>
  <c r="L222" i="344"/>
  <c r="L225" i="344"/>
  <c r="O225" i="344" s="1"/>
  <c r="L228" i="344"/>
  <c r="O228" i="344" s="1"/>
  <c r="L256" i="344"/>
  <c r="J263" i="344"/>
  <c r="J279" i="344" s="1"/>
  <c r="L261" i="344"/>
  <c r="O261" i="344" s="1"/>
  <c r="J281" i="344"/>
  <c r="H373" i="344"/>
  <c r="H374" i="344" s="1"/>
  <c r="H393" i="344" s="1"/>
  <c r="K312" i="344"/>
  <c r="L302" i="344"/>
  <c r="J334" i="344"/>
  <c r="C338" i="344"/>
  <c r="G338" i="344"/>
  <c r="K334" i="344"/>
  <c r="K338" i="344" s="1"/>
  <c r="K373" i="344" s="1"/>
  <c r="L342" i="344"/>
  <c r="J350" i="344"/>
  <c r="J409" i="344"/>
  <c r="L345" i="344"/>
  <c r="J399" i="344"/>
  <c r="D243" i="344"/>
  <c r="J188" i="344"/>
  <c r="J196" i="344"/>
  <c r="L233" i="344"/>
  <c r="L246" i="344"/>
  <c r="L267" i="344"/>
  <c r="J291" i="344"/>
  <c r="L283" i="344"/>
  <c r="J311" i="344"/>
  <c r="L301" i="344"/>
  <c r="J327" i="344"/>
  <c r="L352" i="344"/>
  <c r="J357" i="344"/>
  <c r="K412" i="344"/>
  <c r="K436" i="344" s="1"/>
  <c r="K358" i="344"/>
  <c r="L406" i="344"/>
  <c r="O366" i="344"/>
  <c r="O406" i="344" s="1"/>
  <c r="N439" i="344"/>
  <c r="C217" i="344"/>
  <c r="L223" i="344"/>
  <c r="C240" i="344"/>
  <c r="C252" i="344"/>
  <c r="L258" i="344"/>
  <c r="C276" i="344"/>
  <c r="C289" i="344"/>
  <c r="M290" i="344"/>
  <c r="L294" i="344"/>
  <c r="L296" i="344"/>
  <c r="G394" i="344"/>
  <c r="G420" i="344" s="1"/>
  <c r="G310" i="344"/>
  <c r="G373" i="344" s="1"/>
  <c r="K311" i="344"/>
  <c r="L306" i="344"/>
  <c r="O306" i="344" s="1"/>
  <c r="L309" i="344"/>
  <c r="O314" i="344"/>
  <c r="O323" i="344" s="1"/>
  <c r="P323" i="344"/>
  <c r="O332" i="344"/>
  <c r="L332" i="344"/>
  <c r="K352" i="344"/>
  <c r="K357" i="344" s="1"/>
  <c r="L356" i="344"/>
  <c r="O356" i="344" s="1"/>
  <c r="J391" i="344"/>
  <c r="L378" i="344"/>
  <c r="J401" i="344"/>
  <c r="L383" i="344"/>
  <c r="N373" i="344"/>
  <c r="K310" i="344"/>
  <c r="J323" i="344"/>
  <c r="J341" i="344"/>
  <c r="J360" i="344"/>
  <c r="L372" i="344"/>
  <c r="O362" i="344"/>
  <c r="L411" i="344"/>
  <c r="O368" i="344"/>
  <c r="O411" i="344" s="1"/>
  <c r="J389" i="344"/>
  <c r="H428" i="344"/>
  <c r="L211" i="344"/>
  <c r="L234" i="344"/>
  <c r="L247" i="344"/>
  <c r="L268" i="344"/>
  <c r="L275" i="344"/>
  <c r="I394" i="344"/>
  <c r="I420" i="344" s="1"/>
  <c r="I310" i="344"/>
  <c r="I373" i="344" s="1"/>
  <c r="D310" i="344"/>
  <c r="D373" i="344" s="1"/>
  <c r="K341" i="344"/>
  <c r="K349" i="344" s="1"/>
  <c r="D349" i="344"/>
  <c r="L355" i="344"/>
  <c r="L371" i="344"/>
  <c r="O361" i="344"/>
  <c r="O371" i="344" s="1"/>
  <c r="L407" i="344"/>
  <c r="O367" i="344"/>
  <c r="O407" i="344" s="1"/>
  <c r="F439" i="344"/>
  <c r="G439" i="344"/>
  <c r="L308" i="344"/>
  <c r="C323" i="344"/>
  <c r="C373" i="344" s="1"/>
  <c r="L353" i="344"/>
  <c r="K376" i="344"/>
  <c r="K389" i="344" s="1"/>
  <c r="D389" i="344"/>
  <c r="H435" i="344"/>
  <c r="N435" i="344"/>
  <c r="C436" i="344"/>
  <c r="C439" i="344" s="1"/>
  <c r="G436" i="344"/>
  <c r="L377" i="344"/>
  <c r="J390" i="344"/>
  <c r="J392" i="344"/>
  <c r="J423" i="344" s="1"/>
  <c r="J431" i="344" s="1"/>
  <c r="L379" i="344"/>
  <c r="E435" i="344"/>
  <c r="E439" i="344" s="1"/>
  <c r="I435" i="344"/>
  <c r="D436" i="344"/>
  <c r="D439" i="344" s="1"/>
  <c r="H436" i="344"/>
  <c r="I439" i="344"/>
  <c r="M439" i="344"/>
  <c r="J414" i="344"/>
  <c r="J412" i="344"/>
  <c r="J436" i="344" s="1"/>
  <c r="F435" i="344"/>
  <c r="G374" i="344" l="1"/>
  <c r="G393" i="344" s="1"/>
  <c r="I428" i="344"/>
  <c r="I426" i="344"/>
  <c r="I434" i="344" s="1"/>
  <c r="L404" i="344"/>
  <c r="O296" i="344"/>
  <c r="O404" i="344" s="1"/>
  <c r="L293" i="344"/>
  <c r="J297" i="344"/>
  <c r="C428" i="344"/>
  <c r="C426" i="344"/>
  <c r="C434" i="344" s="1"/>
  <c r="L173" i="344"/>
  <c r="O166" i="344"/>
  <c r="O173" i="344" s="1"/>
  <c r="P172" i="344" s="1"/>
  <c r="L27" i="344"/>
  <c r="O19" i="344"/>
  <c r="O27" i="344" s="1"/>
  <c r="O300" i="344"/>
  <c r="L310" i="344"/>
  <c r="H439" i="344"/>
  <c r="O379" i="344"/>
  <c r="O392" i="344" s="1"/>
  <c r="O423" i="344" s="1"/>
  <c r="O431" i="344" s="1"/>
  <c r="L392" i="344"/>
  <c r="L423" i="344" s="1"/>
  <c r="L431" i="344" s="1"/>
  <c r="O308" i="344"/>
  <c r="O413" i="344" s="1"/>
  <c r="L413" i="344"/>
  <c r="O268" i="344"/>
  <c r="O277" i="344" s="1"/>
  <c r="L277" i="344"/>
  <c r="J349" i="344"/>
  <c r="L341" i="344"/>
  <c r="O383" i="344"/>
  <c r="O401" i="344" s="1"/>
  <c r="L401" i="344"/>
  <c r="O294" i="344"/>
  <c r="L298" i="344"/>
  <c r="L265" i="344"/>
  <c r="O258" i="344"/>
  <c r="O265" i="344" s="1"/>
  <c r="L327" i="344"/>
  <c r="J331" i="344"/>
  <c r="L240" i="344"/>
  <c r="O233" i="344"/>
  <c r="O240" i="344" s="1"/>
  <c r="O342" i="344"/>
  <c r="L350" i="344"/>
  <c r="L334" i="344"/>
  <c r="J338" i="344"/>
  <c r="L230" i="344"/>
  <c r="O222" i="344"/>
  <c r="O230" i="344" s="1"/>
  <c r="P229" i="344" s="1"/>
  <c r="L208" i="344"/>
  <c r="O201" i="344"/>
  <c r="O208" i="344" s="1"/>
  <c r="O282" i="344"/>
  <c r="O290" i="344" s="1"/>
  <c r="L290" i="344"/>
  <c r="L402" i="344"/>
  <c r="O97" i="344"/>
  <c r="O402" i="344" s="1"/>
  <c r="L79" i="344"/>
  <c r="J86" i="344"/>
  <c r="O42" i="344"/>
  <c r="L50" i="344"/>
  <c r="L396" i="344"/>
  <c r="O405" i="344"/>
  <c r="L152" i="344"/>
  <c r="J161" i="344"/>
  <c r="L125" i="344"/>
  <c r="O116" i="344"/>
  <c r="O125" i="344" s="1"/>
  <c r="P124" i="344" s="1"/>
  <c r="L100" i="344"/>
  <c r="O91" i="344"/>
  <c r="O100" i="344" s="1"/>
  <c r="L51" i="344"/>
  <c r="O43" i="344"/>
  <c r="K435" i="344"/>
  <c r="K439" i="344" s="1"/>
  <c r="L128" i="344"/>
  <c r="J137" i="344"/>
  <c r="J206" i="344"/>
  <c r="L199" i="344"/>
  <c r="O76" i="344"/>
  <c r="P75" i="344" s="1"/>
  <c r="L390" i="344"/>
  <c r="O377" i="344"/>
  <c r="L410" i="344"/>
  <c r="O275" i="344"/>
  <c r="O283" i="344"/>
  <c r="O291" i="344" s="1"/>
  <c r="L291" i="344"/>
  <c r="L88" i="344"/>
  <c r="O81" i="344"/>
  <c r="O88" i="344" s="1"/>
  <c r="O165" i="344"/>
  <c r="O172" i="344" s="1"/>
  <c r="L172" i="344"/>
  <c r="O115" i="344"/>
  <c r="O124" i="344" s="1"/>
  <c r="L124" i="344"/>
  <c r="L408" i="344"/>
  <c r="O60" i="344"/>
  <c r="O408" i="344" s="1"/>
  <c r="J61" i="344"/>
  <c r="J102" i="344" s="1"/>
  <c r="L54" i="344"/>
  <c r="L39" i="344"/>
  <c r="O33" i="344"/>
  <c r="O39" i="344" s="1"/>
  <c r="K394" i="344"/>
  <c r="K420" i="344" s="1"/>
  <c r="K15" i="344"/>
  <c r="K30" i="344" s="1"/>
  <c r="K244" i="344" s="1"/>
  <c r="K374" i="344" s="1"/>
  <c r="K393" i="344" s="1"/>
  <c r="L253" i="344"/>
  <c r="O247" i="344"/>
  <c r="O253" i="344" s="1"/>
  <c r="P252" i="344" s="1"/>
  <c r="O372" i="344"/>
  <c r="P370" i="344" s="1"/>
  <c r="C279" i="344"/>
  <c r="L311" i="344"/>
  <c r="O301" i="344"/>
  <c r="O311" i="344" s="1"/>
  <c r="L278" i="344"/>
  <c r="O345" i="344"/>
  <c r="O409" i="344" s="1"/>
  <c r="L409" i="344"/>
  <c r="L312" i="344"/>
  <c r="O302" i="344"/>
  <c r="O312" i="344" s="1"/>
  <c r="O256" i="344"/>
  <c r="O263" i="344" s="1"/>
  <c r="L263" i="344"/>
  <c r="L101" i="344"/>
  <c r="O92" i="344"/>
  <c r="O101" i="344" s="1"/>
  <c r="L77" i="344"/>
  <c r="O67" i="344"/>
  <c r="O77" i="344" s="1"/>
  <c r="L63" i="344"/>
  <c r="O56" i="344"/>
  <c r="D244" i="344"/>
  <c r="N428" i="344"/>
  <c r="N426" i="344"/>
  <c r="N434" i="344" s="1"/>
  <c r="O200" i="344"/>
  <c r="O207" i="344" s="1"/>
  <c r="L207" i="344"/>
  <c r="D279" i="344"/>
  <c r="L405" i="344"/>
  <c r="O143" i="344"/>
  <c r="O150" i="344" s="1"/>
  <c r="L150" i="344"/>
  <c r="M428" i="344"/>
  <c r="M426" i="344"/>
  <c r="M434" i="344" s="1"/>
  <c r="O264" i="344"/>
  <c r="O117" i="344"/>
  <c r="O126" i="344" s="1"/>
  <c r="L126" i="344"/>
  <c r="L38" i="344"/>
  <c r="C102" i="344"/>
  <c r="C244" i="344" s="1"/>
  <c r="C374" i="344" s="1"/>
  <c r="C393" i="344" s="1"/>
  <c r="J435" i="344"/>
  <c r="J439" i="344" s="1"/>
  <c r="L149" i="344"/>
  <c r="O142" i="344"/>
  <c r="O149" i="344" s="1"/>
  <c r="P148" i="344" s="1"/>
  <c r="L76" i="344"/>
  <c r="O396" i="344"/>
  <c r="L218" i="344"/>
  <c r="O211" i="344"/>
  <c r="O218" i="344" s="1"/>
  <c r="P217" i="344" s="1"/>
  <c r="L360" i="344"/>
  <c r="J370" i="344"/>
  <c r="L231" i="344"/>
  <c r="O223" i="344"/>
  <c r="O231" i="344" s="1"/>
  <c r="O352" i="344"/>
  <c r="L357" i="344"/>
  <c r="L252" i="344"/>
  <c r="O246" i="344"/>
  <c r="O252" i="344" s="1"/>
  <c r="L176" i="344"/>
  <c r="J184" i="344"/>
  <c r="O44" i="344"/>
  <c r="O52" i="344" s="1"/>
  <c r="L52" i="344"/>
  <c r="O221" i="344"/>
  <c r="O229" i="344" s="1"/>
  <c r="L229" i="344"/>
  <c r="J148" i="344"/>
  <c r="L141" i="344"/>
  <c r="L376" i="344"/>
  <c r="O353" i="344"/>
  <c r="O358" i="344" s="1"/>
  <c r="L358" i="344"/>
  <c r="L412" i="344"/>
  <c r="O355" i="344"/>
  <c r="O412" i="344" s="1"/>
  <c r="L241" i="344"/>
  <c r="O234" i="344"/>
  <c r="O241" i="344" s="1"/>
  <c r="P240" i="344" s="1"/>
  <c r="O378" i="344"/>
  <c r="O391" i="344" s="1"/>
  <c r="L391" i="344"/>
  <c r="L414" i="344"/>
  <c r="O309" i="344"/>
  <c r="O414" i="344" s="1"/>
  <c r="G428" i="344"/>
  <c r="G426" i="344"/>
  <c r="G434" i="344" s="1"/>
  <c r="L276" i="344"/>
  <c r="O267" i="344"/>
  <c r="J195" i="344"/>
  <c r="L188" i="344"/>
  <c r="J289" i="344"/>
  <c r="L281" i="344"/>
  <c r="L210" i="344"/>
  <c r="L90" i="344"/>
  <c r="J99" i="344"/>
  <c r="L65" i="344"/>
  <c r="J75" i="344"/>
  <c r="L400" i="344"/>
  <c r="J394" i="344"/>
  <c r="J420" i="344" s="1"/>
  <c r="J15" i="344"/>
  <c r="J30" i="344" s="1"/>
  <c r="L7" i="344"/>
  <c r="O163" i="344"/>
  <c r="P161" i="344" s="1"/>
  <c r="L87" i="344"/>
  <c r="O80" i="344"/>
  <c r="O87" i="344" s="1"/>
  <c r="M421" i="344"/>
  <c r="M429" i="344" s="1"/>
  <c r="F428" i="344"/>
  <c r="F426" i="344"/>
  <c r="F434" i="344" s="1"/>
  <c r="L264" i="344"/>
  <c r="L28" i="344"/>
  <c r="O34" i="344"/>
  <c r="O40" i="344" s="1"/>
  <c r="L40" i="344"/>
  <c r="L422" i="344" s="1"/>
  <c r="L430" i="344" s="1"/>
  <c r="F244" i="344"/>
  <c r="F374" i="344" s="1"/>
  <c r="F393" i="344" s="1"/>
  <c r="O167" i="344"/>
  <c r="O174" i="344" s="1"/>
  <c r="L174" i="344"/>
  <c r="L104" i="344"/>
  <c r="J111" i="344"/>
  <c r="L398" i="344"/>
  <c r="O47" i="344"/>
  <c r="O398" i="344" s="1"/>
  <c r="O410" i="344" l="1"/>
  <c r="O278" i="344"/>
  <c r="L137" i="344"/>
  <c r="O128" i="344"/>
  <c r="O137" i="344" s="1"/>
  <c r="J373" i="344"/>
  <c r="K428" i="344"/>
  <c r="K426" i="344"/>
  <c r="K434" i="344" s="1"/>
  <c r="O293" i="344"/>
  <c r="O297" i="344" s="1"/>
  <c r="L297" i="344"/>
  <c r="L111" i="344"/>
  <c r="O104" i="344"/>
  <c r="O111" i="344" s="1"/>
  <c r="P99" i="344"/>
  <c r="O90" i="344"/>
  <c r="O99" i="344" s="1"/>
  <c r="L99" i="344"/>
  <c r="O188" i="344"/>
  <c r="O195" i="344" s="1"/>
  <c r="L195" i="344"/>
  <c r="O376" i="344"/>
  <c r="O389" i="344" s="1"/>
  <c r="L389" i="344"/>
  <c r="P310" i="344"/>
  <c r="O199" i="344"/>
  <c r="O206" i="344" s="1"/>
  <c r="L206" i="344"/>
  <c r="O50" i="344"/>
  <c r="L421" i="344"/>
  <c r="L429" i="344" s="1"/>
  <c r="L394" i="344"/>
  <c r="L420" i="344" s="1"/>
  <c r="L15" i="344"/>
  <c r="L30" i="344" s="1"/>
  <c r="O7" i="344"/>
  <c r="O357" i="344"/>
  <c r="O341" i="344"/>
  <c r="O349" i="344" s="1"/>
  <c r="L349" i="344"/>
  <c r="O436" i="344"/>
  <c r="O439" i="344" s="1"/>
  <c r="J428" i="344"/>
  <c r="J426" i="344"/>
  <c r="J434" i="344" s="1"/>
  <c r="L279" i="344"/>
  <c r="O54" i="344"/>
  <c r="O61" i="344" s="1"/>
  <c r="L61" i="344"/>
  <c r="L102" i="344" s="1"/>
  <c r="O435" i="344"/>
  <c r="L161" i="344"/>
  <c r="O152" i="344"/>
  <c r="O161" i="344" s="1"/>
  <c r="L338" i="344"/>
  <c r="O334" i="344"/>
  <c r="O338" i="344" s="1"/>
  <c r="P276" i="344"/>
  <c r="O310" i="344"/>
  <c r="L217" i="344"/>
  <c r="O210" i="344"/>
  <c r="O217" i="344" s="1"/>
  <c r="L184" i="344"/>
  <c r="O176" i="344"/>
  <c r="O184" i="344" s="1"/>
  <c r="L370" i="344"/>
  <c r="O360" i="344"/>
  <c r="O370" i="344" s="1"/>
  <c r="D374" i="344"/>
  <c r="D393" i="344" s="1"/>
  <c r="P38" i="344"/>
  <c r="O390" i="344"/>
  <c r="P389" i="344" s="1"/>
  <c r="O51" i="344"/>
  <c r="J243" i="344"/>
  <c r="J244" i="344" s="1"/>
  <c r="J374" i="344" s="1"/>
  <c r="J393" i="344" s="1"/>
  <c r="P86" i="344"/>
  <c r="O65" i="344"/>
  <c r="O75" i="344" s="1"/>
  <c r="L75" i="344"/>
  <c r="O281" i="344"/>
  <c r="O289" i="344" s="1"/>
  <c r="L289" i="344"/>
  <c r="O276" i="344"/>
  <c r="O279" i="344" s="1"/>
  <c r="O141" i="344"/>
  <c r="O148" i="344" s="1"/>
  <c r="L148" i="344"/>
  <c r="P263" i="344"/>
  <c r="P206" i="344"/>
  <c r="O63" i="344"/>
  <c r="P61" i="344" s="1"/>
  <c r="L435" i="344"/>
  <c r="O79" i="344"/>
  <c r="O86" i="344" s="1"/>
  <c r="L86" i="344"/>
  <c r="P289" i="344"/>
  <c r="O350" i="344"/>
  <c r="L331" i="344"/>
  <c r="O327" i="344"/>
  <c r="O331" i="344" s="1"/>
  <c r="O298" i="344"/>
  <c r="L436" i="344"/>
  <c r="L439" i="344" s="1"/>
  <c r="L243" i="344" l="1"/>
  <c r="L244" i="344" s="1"/>
  <c r="L374" i="344" s="1"/>
  <c r="L393" i="344" s="1"/>
  <c r="O102" i="344"/>
  <c r="O243" i="344"/>
  <c r="P50" i="344"/>
  <c r="O421" i="344"/>
  <c r="L426" i="344"/>
  <c r="L434" i="344" s="1"/>
  <c r="L428" i="344"/>
  <c r="L373" i="344"/>
  <c r="O394" i="344"/>
  <c r="O420" i="344" s="1"/>
  <c r="O15" i="344"/>
  <c r="O30" i="344" s="1"/>
  <c r="O373" i="344"/>
  <c r="O422" i="344"/>
  <c r="O430" i="344" s="1"/>
  <c r="O244" i="344" l="1"/>
  <c r="O374" i="344" s="1"/>
  <c r="O393" i="344" s="1"/>
  <c r="O429" i="344"/>
  <c r="P420" i="344"/>
  <c r="O428" i="344"/>
  <c r="O426" i="344"/>
  <c r="O434" i="344" s="1"/>
  <c r="K431" i="343" l="1"/>
  <c r="K427" i="343"/>
  <c r="J427" i="343"/>
  <c r="G427" i="343"/>
  <c r="F427" i="343"/>
  <c r="C427" i="343"/>
  <c r="D426" i="343"/>
  <c r="D425" i="343"/>
  <c r="K421" i="343"/>
  <c r="C421" i="343"/>
  <c r="C431" i="343" s="1"/>
  <c r="I414" i="343"/>
  <c r="I421" i="343" s="1"/>
  <c r="I431" i="343" s="1"/>
  <c r="D414" i="343"/>
  <c r="D421" i="343" s="1"/>
  <c r="D431" i="343" s="1"/>
  <c r="N409" i="343"/>
  <c r="N427" i="343" s="1"/>
  <c r="K409" i="343"/>
  <c r="J409" i="343"/>
  <c r="I409" i="343"/>
  <c r="I427" i="343" s="1"/>
  <c r="G409" i="343"/>
  <c r="F409" i="343"/>
  <c r="E409" i="343"/>
  <c r="E427" i="343" s="1"/>
  <c r="D409" i="343"/>
  <c r="D427" i="343" s="1"/>
  <c r="C409" i="343"/>
  <c r="N407" i="343"/>
  <c r="K407" i="343"/>
  <c r="J407" i="343"/>
  <c r="I407" i="343"/>
  <c r="G407" i="343"/>
  <c r="F407" i="343"/>
  <c r="E407" i="343"/>
  <c r="D407" i="343"/>
  <c r="C407" i="343"/>
  <c r="N406" i="343"/>
  <c r="K406" i="343"/>
  <c r="J406" i="343"/>
  <c r="I406" i="343"/>
  <c r="G406" i="343"/>
  <c r="F406" i="343"/>
  <c r="E406" i="343"/>
  <c r="D406" i="343"/>
  <c r="C406" i="343"/>
  <c r="N405" i="343"/>
  <c r="K405" i="343"/>
  <c r="J405" i="343"/>
  <c r="I405" i="343"/>
  <c r="G405" i="343"/>
  <c r="F405" i="343"/>
  <c r="E405" i="343"/>
  <c r="D405" i="343"/>
  <c r="C405" i="343"/>
  <c r="N404" i="343"/>
  <c r="K404" i="343"/>
  <c r="J404" i="343"/>
  <c r="I404" i="343"/>
  <c r="G404" i="343"/>
  <c r="F404" i="343"/>
  <c r="E404" i="343"/>
  <c r="D404" i="343"/>
  <c r="C404" i="343"/>
  <c r="N403" i="343"/>
  <c r="K403" i="343"/>
  <c r="J403" i="343"/>
  <c r="I403" i="343"/>
  <c r="G403" i="343"/>
  <c r="F403" i="343"/>
  <c r="E403" i="343"/>
  <c r="D403" i="343"/>
  <c r="C403" i="343"/>
  <c r="N402" i="343"/>
  <c r="K402" i="343"/>
  <c r="J402" i="343"/>
  <c r="I402" i="343"/>
  <c r="G402" i="343"/>
  <c r="F402" i="343"/>
  <c r="E402" i="343"/>
  <c r="D402" i="343"/>
  <c r="C402" i="343"/>
  <c r="N401" i="343"/>
  <c r="K401" i="343"/>
  <c r="J401" i="343"/>
  <c r="I401" i="343"/>
  <c r="G401" i="343"/>
  <c r="F401" i="343"/>
  <c r="E401" i="343"/>
  <c r="D401" i="343"/>
  <c r="C401" i="343"/>
  <c r="N400" i="343"/>
  <c r="K400" i="343"/>
  <c r="J400" i="343"/>
  <c r="I400" i="343"/>
  <c r="G400" i="343"/>
  <c r="F400" i="343"/>
  <c r="E400" i="343"/>
  <c r="D400" i="343"/>
  <c r="C400" i="343"/>
  <c r="N399" i="343"/>
  <c r="K399" i="343"/>
  <c r="J399" i="343"/>
  <c r="I399" i="343"/>
  <c r="G399" i="343"/>
  <c r="F399" i="343"/>
  <c r="E399" i="343"/>
  <c r="D399" i="343"/>
  <c r="C399" i="343"/>
  <c r="N398" i="343"/>
  <c r="K398" i="343"/>
  <c r="J398" i="343"/>
  <c r="I398" i="343"/>
  <c r="G398" i="343"/>
  <c r="F398" i="343"/>
  <c r="E398" i="343"/>
  <c r="D398" i="343"/>
  <c r="C398" i="343"/>
  <c r="N397" i="343"/>
  <c r="K397" i="343"/>
  <c r="J397" i="343"/>
  <c r="J426" i="343" s="1"/>
  <c r="I397" i="343"/>
  <c r="G397" i="343"/>
  <c r="F397" i="343"/>
  <c r="E397" i="343"/>
  <c r="D397" i="343"/>
  <c r="C397" i="343"/>
  <c r="N395" i="343"/>
  <c r="K395" i="343"/>
  <c r="J395" i="343"/>
  <c r="I395" i="343"/>
  <c r="G395" i="343"/>
  <c r="F395" i="343"/>
  <c r="E395" i="343"/>
  <c r="D395" i="343"/>
  <c r="C395" i="343"/>
  <c r="N394" i="343"/>
  <c r="K394" i="343"/>
  <c r="J394" i="343"/>
  <c r="I394" i="343"/>
  <c r="G394" i="343"/>
  <c r="F394" i="343"/>
  <c r="E394" i="343"/>
  <c r="D394" i="343"/>
  <c r="C394" i="343"/>
  <c r="N393" i="343"/>
  <c r="K393" i="343"/>
  <c r="J393" i="343"/>
  <c r="I393" i="343"/>
  <c r="G393" i="343"/>
  <c r="F393" i="343"/>
  <c r="D393" i="343"/>
  <c r="N392" i="343"/>
  <c r="K392" i="343"/>
  <c r="J392" i="343"/>
  <c r="G392" i="343"/>
  <c r="F392" i="343"/>
  <c r="D392" i="343"/>
  <c r="C392" i="343"/>
  <c r="N391" i="343"/>
  <c r="K391" i="343"/>
  <c r="J391" i="343"/>
  <c r="I391" i="343"/>
  <c r="G391" i="343"/>
  <c r="F391" i="343"/>
  <c r="E391" i="343"/>
  <c r="D391" i="343"/>
  <c r="C391" i="343"/>
  <c r="N390" i="343"/>
  <c r="K390" i="343"/>
  <c r="J390" i="343"/>
  <c r="I390" i="343"/>
  <c r="G390" i="343"/>
  <c r="F390" i="343"/>
  <c r="E390" i="343"/>
  <c r="D390" i="343"/>
  <c r="C390" i="343"/>
  <c r="N389" i="343"/>
  <c r="K389" i="343"/>
  <c r="J389" i="343"/>
  <c r="J425" i="343" s="1"/>
  <c r="J424" i="343" s="1"/>
  <c r="I389" i="343"/>
  <c r="G389" i="343"/>
  <c r="F389" i="343"/>
  <c r="E389" i="343"/>
  <c r="D389" i="343"/>
  <c r="C389" i="343"/>
  <c r="N385" i="343"/>
  <c r="N414" i="343" s="1"/>
  <c r="N421" i="343" s="1"/>
  <c r="K385" i="343"/>
  <c r="K414" i="343" s="1"/>
  <c r="J385" i="343"/>
  <c r="J414" i="343" s="1"/>
  <c r="J421" i="343" s="1"/>
  <c r="I385" i="343"/>
  <c r="G385" i="343"/>
  <c r="G414" i="343" s="1"/>
  <c r="G421" i="343" s="1"/>
  <c r="G431" i="343" s="1"/>
  <c r="F385" i="343"/>
  <c r="F414" i="343" s="1"/>
  <c r="F421" i="343" s="1"/>
  <c r="F431" i="343" s="1"/>
  <c r="E385" i="343"/>
  <c r="E414" i="343" s="1"/>
  <c r="E421" i="343" s="1"/>
  <c r="E431" i="343" s="1"/>
  <c r="D385" i="343"/>
  <c r="C385" i="343"/>
  <c r="C414" i="343" s="1"/>
  <c r="N384" i="343"/>
  <c r="K384" i="343"/>
  <c r="J384" i="343"/>
  <c r="I384" i="343"/>
  <c r="G384" i="343"/>
  <c r="F384" i="343"/>
  <c r="E384" i="343"/>
  <c r="D384" i="343"/>
  <c r="C384" i="343"/>
  <c r="N383" i="343"/>
  <c r="K383" i="343"/>
  <c r="J383" i="343"/>
  <c r="I383" i="343"/>
  <c r="G383" i="343"/>
  <c r="F383" i="343"/>
  <c r="E383" i="343"/>
  <c r="D383" i="343"/>
  <c r="C383" i="343"/>
  <c r="N382" i="343"/>
  <c r="L382" i="343"/>
  <c r="K382" i="343"/>
  <c r="G382" i="343"/>
  <c r="F382" i="343"/>
  <c r="C382" i="343"/>
  <c r="L381" i="343"/>
  <c r="H381" i="343"/>
  <c r="L380" i="343"/>
  <c r="L409" i="343" s="1"/>
  <c r="L427" i="343" s="1"/>
  <c r="H380" i="343"/>
  <c r="L378" i="343"/>
  <c r="H378" i="343"/>
  <c r="L377" i="343"/>
  <c r="H377" i="343"/>
  <c r="L376" i="343"/>
  <c r="H376" i="343"/>
  <c r="L375" i="343"/>
  <c r="H375" i="343"/>
  <c r="L374" i="343"/>
  <c r="L394" i="343" s="1"/>
  <c r="H374" i="343"/>
  <c r="L373" i="343"/>
  <c r="H373" i="343"/>
  <c r="L371" i="343"/>
  <c r="L385" i="343" s="1"/>
  <c r="L414" i="343" s="1"/>
  <c r="L421" i="343" s="1"/>
  <c r="L431" i="343" s="1"/>
  <c r="H371" i="343"/>
  <c r="L370" i="343"/>
  <c r="L384" i="343" s="1"/>
  <c r="H370" i="343"/>
  <c r="L369" i="343"/>
  <c r="L383" i="343" s="1"/>
  <c r="H369" i="343"/>
  <c r="L368" i="343"/>
  <c r="J368" i="343"/>
  <c r="J382" i="343" s="1"/>
  <c r="I368" i="343"/>
  <c r="I382" i="343" s="1"/>
  <c r="E368" i="343"/>
  <c r="E382" i="343" s="1"/>
  <c r="D368" i="343"/>
  <c r="D382" i="343" s="1"/>
  <c r="C368" i="343"/>
  <c r="N364" i="343"/>
  <c r="L364" i="343"/>
  <c r="K364" i="343"/>
  <c r="J364" i="343"/>
  <c r="I364" i="343"/>
  <c r="G364" i="343"/>
  <c r="F364" i="343"/>
  <c r="E364" i="343"/>
  <c r="D364" i="343"/>
  <c r="C364" i="343"/>
  <c r="N363" i="343"/>
  <c r="L363" i="343"/>
  <c r="K363" i="343"/>
  <c r="J363" i="343"/>
  <c r="I363" i="343"/>
  <c r="G363" i="343"/>
  <c r="F363" i="343"/>
  <c r="E363" i="343"/>
  <c r="D363" i="343"/>
  <c r="C363" i="343"/>
  <c r="N362" i="343"/>
  <c r="K362" i="343"/>
  <c r="J362" i="343"/>
  <c r="G362" i="343"/>
  <c r="F362" i="343"/>
  <c r="O361" i="343"/>
  <c r="L361" i="343"/>
  <c r="H361" i="343"/>
  <c r="M361" i="343" s="1"/>
  <c r="L360" i="343"/>
  <c r="L403" i="343" s="1"/>
  <c r="H360" i="343"/>
  <c r="L359" i="343"/>
  <c r="L399" i="343" s="1"/>
  <c r="H359" i="343"/>
  <c r="L358" i="343"/>
  <c r="L398" i="343" s="1"/>
  <c r="H358" i="343"/>
  <c r="O356" i="343"/>
  <c r="L356" i="343"/>
  <c r="H356" i="343"/>
  <c r="M356" i="343" s="1"/>
  <c r="L354" i="343"/>
  <c r="H354" i="343"/>
  <c r="L353" i="343"/>
  <c r="H353" i="343"/>
  <c r="I352" i="343"/>
  <c r="E352" i="343"/>
  <c r="E362" i="343" s="1"/>
  <c r="D352" i="343"/>
  <c r="D362" i="343" s="1"/>
  <c r="C352" i="343"/>
  <c r="C362" i="343" s="1"/>
  <c r="N350" i="343"/>
  <c r="L350" i="343"/>
  <c r="K350" i="343"/>
  <c r="J350" i="343"/>
  <c r="I350" i="343"/>
  <c r="H350" i="343"/>
  <c r="G350" i="343"/>
  <c r="F350" i="343"/>
  <c r="E350" i="343"/>
  <c r="D350" i="343"/>
  <c r="C350" i="343"/>
  <c r="N349" i="343"/>
  <c r="L349" i="343"/>
  <c r="K349" i="343"/>
  <c r="J349" i="343"/>
  <c r="I349" i="343"/>
  <c r="G349" i="343"/>
  <c r="F349" i="343"/>
  <c r="E349" i="343"/>
  <c r="D349" i="343"/>
  <c r="M348" i="343"/>
  <c r="O348" i="343" s="1"/>
  <c r="L348" i="343"/>
  <c r="H348" i="343"/>
  <c r="M347" i="343"/>
  <c r="O347" i="343" s="1"/>
  <c r="L347" i="343"/>
  <c r="H347" i="343"/>
  <c r="O346" i="343"/>
  <c r="M346" i="343"/>
  <c r="L346" i="343"/>
  <c r="H346" i="343"/>
  <c r="O344" i="343"/>
  <c r="O350" i="343" s="1"/>
  <c r="M344" i="343"/>
  <c r="M350" i="343" s="1"/>
  <c r="L344" i="343"/>
  <c r="H344" i="343"/>
  <c r="L343" i="343"/>
  <c r="I343" i="343"/>
  <c r="H343" i="343"/>
  <c r="H349" i="343" s="1"/>
  <c r="E343" i="343"/>
  <c r="D343" i="343"/>
  <c r="C343" i="343"/>
  <c r="C349" i="343" s="1"/>
  <c r="N341" i="343"/>
  <c r="K341" i="343"/>
  <c r="J341" i="343"/>
  <c r="I341" i="343"/>
  <c r="G341" i="343"/>
  <c r="F341" i="343"/>
  <c r="E341" i="343"/>
  <c r="D341" i="343"/>
  <c r="C341" i="343"/>
  <c r="N340" i="343"/>
  <c r="K340" i="343"/>
  <c r="G340" i="343"/>
  <c r="F340" i="343"/>
  <c r="C340" i="343"/>
  <c r="L339" i="343"/>
  <c r="H339" i="343"/>
  <c r="L338" i="343"/>
  <c r="H338" i="343"/>
  <c r="M338" i="343" s="1"/>
  <c r="O338" i="343" s="1"/>
  <c r="L337" i="343"/>
  <c r="L404" i="343" s="1"/>
  <c r="H337" i="343"/>
  <c r="L336" i="343"/>
  <c r="L401" i="343" s="1"/>
  <c r="H336" i="343"/>
  <c r="L334" i="343"/>
  <c r="L341" i="343" s="1"/>
  <c r="H334" i="343"/>
  <c r="J333" i="343"/>
  <c r="I333" i="343"/>
  <c r="I340" i="343" s="1"/>
  <c r="E333" i="343"/>
  <c r="E340" i="343" s="1"/>
  <c r="D333" i="343"/>
  <c r="D340" i="343" s="1"/>
  <c r="C333" i="343"/>
  <c r="H333" i="343" s="1"/>
  <c r="N331" i="343"/>
  <c r="L331" i="343"/>
  <c r="K331" i="343"/>
  <c r="J331" i="343"/>
  <c r="I331" i="343"/>
  <c r="G331" i="343"/>
  <c r="F331" i="343"/>
  <c r="E331" i="343"/>
  <c r="D331" i="343"/>
  <c r="C331" i="343"/>
  <c r="N330" i="343"/>
  <c r="K330" i="343"/>
  <c r="J330" i="343"/>
  <c r="G330" i="343"/>
  <c r="F330" i="343"/>
  <c r="E330" i="343"/>
  <c r="O329" i="343"/>
  <c r="L329" i="343"/>
  <c r="H329" i="343"/>
  <c r="M329" i="343" s="1"/>
  <c r="L327" i="343"/>
  <c r="H327" i="343"/>
  <c r="K326" i="343"/>
  <c r="I326" i="343"/>
  <c r="E326" i="343"/>
  <c r="D326" i="343"/>
  <c r="D330" i="343" s="1"/>
  <c r="C326" i="343"/>
  <c r="N324" i="343"/>
  <c r="M324" i="343"/>
  <c r="L324" i="343"/>
  <c r="K324" i="343"/>
  <c r="J324" i="343"/>
  <c r="I324" i="343"/>
  <c r="H324" i="343"/>
  <c r="G324" i="343"/>
  <c r="F324" i="343"/>
  <c r="E324" i="343"/>
  <c r="D324" i="343"/>
  <c r="C324" i="343"/>
  <c r="N323" i="343"/>
  <c r="K323" i="343"/>
  <c r="J323" i="343"/>
  <c r="I323" i="343"/>
  <c r="G323" i="343"/>
  <c r="F323" i="343"/>
  <c r="M322" i="343"/>
  <c r="O322" i="343" s="1"/>
  <c r="L322" i="343"/>
  <c r="H322" i="343"/>
  <c r="M320" i="343"/>
  <c r="O320" i="343" s="1"/>
  <c r="O324" i="343" s="1"/>
  <c r="L320" i="343"/>
  <c r="H320" i="343"/>
  <c r="L319" i="343"/>
  <c r="L323" i="343" s="1"/>
  <c r="E319" i="343"/>
  <c r="E323" i="343" s="1"/>
  <c r="D319" i="343"/>
  <c r="D323" i="343" s="1"/>
  <c r="C319" i="343"/>
  <c r="C323" i="343" s="1"/>
  <c r="N317" i="343"/>
  <c r="K317" i="343"/>
  <c r="J317" i="343"/>
  <c r="I317" i="343"/>
  <c r="G317" i="343"/>
  <c r="F317" i="343"/>
  <c r="E317" i="343"/>
  <c r="D317" i="343"/>
  <c r="C317" i="343"/>
  <c r="N316" i="343"/>
  <c r="K316" i="343"/>
  <c r="J316" i="343"/>
  <c r="I316" i="343"/>
  <c r="G316" i="343"/>
  <c r="F316" i="343"/>
  <c r="E316" i="343"/>
  <c r="D316" i="343"/>
  <c r="C316" i="343"/>
  <c r="N315" i="343"/>
  <c r="K315" i="343"/>
  <c r="I315" i="343"/>
  <c r="G315" i="343"/>
  <c r="F315" i="343"/>
  <c r="D315" i="343"/>
  <c r="C315" i="343"/>
  <c r="M314" i="343"/>
  <c r="O314" i="343" s="1"/>
  <c r="L314" i="343"/>
  <c r="H314" i="343"/>
  <c r="M313" i="343"/>
  <c r="O313" i="343" s="1"/>
  <c r="L313" i="343"/>
  <c r="H313" i="343"/>
  <c r="L311" i="343"/>
  <c r="M311" i="343" s="1"/>
  <c r="O311" i="343" s="1"/>
  <c r="H311" i="343"/>
  <c r="L310" i="343"/>
  <c r="M310" i="343" s="1"/>
  <c r="O310" i="343" s="1"/>
  <c r="H310" i="343"/>
  <c r="M309" i="343"/>
  <c r="O309" i="343" s="1"/>
  <c r="L309" i="343"/>
  <c r="H309" i="343"/>
  <c r="M308" i="343"/>
  <c r="L308" i="343"/>
  <c r="L317" i="343" s="1"/>
  <c r="H308" i="343"/>
  <c r="H317" i="343" s="1"/>
  <c r="L307" i="343"/>
  <c r="H307" i="343"/>
  <c r="H316" i="343" s="1"/>
  <c r="L306" i="343"/>
  <c r="L315" i="343" s="1"/>
  <c r="J306" i="343"/>
  <c r="J315" i="343" s="1"/>
  <c r="I306" i="343"/>
  <c r="E306" i="343"/>
  <c r="D306" i="343"/>
  <c r="C306" i="343"/>
  <c r="N304" i="343"/>
  <c r="K304" i="343"/>
  <c r="J304" i="343"/>
  <c r="I304" i="343"/>
  <c r="G304" i="343"/>
  <c r="F304" i="343"/>
  <c r="E304" i="343"/>
  <c r="D304" i="343"/>
  <c r="C304" i="343"/>
  <c r="N303" i="343"/>
  <c r="L303" i="343"/>
  <c r="K303" i="343"/>
  <c r="J303" i="343"/>
  <c r="I303" i="343"/>
  <c r="G303" i="343"/>
  <c r="F303" i="343"/>
  <c r="D303" i="343"/>
  <c r="C303" i="343"/>
  <c r="N302" i="343"/>
  <c r="I302" i="343"/>
  <c r="G302" i="343"/>
  <c r="F302" i="343"/>
  <c r="M301" i="343"/>
  <c r="L301" i="343"/>
  <c r="H301" i="343"/>
  <c r="M300" i="343"/>
  <c r="L300" i="343"/>
  <c r="L405" i="343" s="1"/>
  <c r="H300" i="343"/>
  <c r="H405" i="343" s="1"/>
  <c r="L298" i="343"/>
  <c r="E298" i="343"/>
  <c r="L297" i="343"/>
  <c r="H297" i="343"/>
  <c r="M297" i="343" s="1"/>
  <c r="O297" i="343" s="1"/>
  <c r="L296" i="343"/>
  <c r="H296" i="343"/>
  <c r="M296" i="343" s="1"/>
  <c r="O296" i="343" s="1"/>
  <c r="L294" i="343"/>
  <c r="L304" i="343" s="1"/>
  <c r="H294" i="343"/>
  <c r="O293" i="343"/>
  <c r="L293" i="343"/>
  <c r="H293" i="343"/>
  <c r="M293" i="343" s="1"/>
  <c r="K292" i="343"/>
  <c r="K302" i="343" s="1"/>
  <c r="J292" i="343"/>
  <c r="J302" i="343" s="1"/>
  <c r="I292" i="343"/>
  <c r="E292" i="343"/>
  <c r="D292" i="343"/>
  <c r="D302" i="343" s="1"/>
  <c r="C292" i="343"/>
  <c r="C302" i="343" s="1"/>
  <c r="N290" i="343"/>
  <c r="L290" i="343"/>
  <c r="K290" i="343"/>
  <c r="J290" i="343"/>
  <c r="I290" i="343"/>
  <c r="G290" i="343"/>
  <c r="F290" i="343"/>
  <c r="E290" i="343"/>
  <c r="D290" i="343"/>
  <c r="C290" i="343"/>
  <c r="N289" i="343"/>
  <c r="J289" i="343"/>
  <c r="G289" i="343"/>
  <c r="G365" i="343" s="1"/>
  <c r="F289" i="343"/>
  <c r="L288" i="343"/>
  <c r="L406" i="343" s="1"/>
  <c r="H288" i="343"/>
  <c r="L286" i="343"/>
  <c r="H286" i="343"/>
  <c r="K285" i="343"/>
  <c r="K289" i="343" s="1"/>
  <c r="K365" i="343" s="1"/>
  <c r="J285" i="343"/>
  <c r="I285" i="343"/>
  <c r="I289" i="343" s="1"/>
  <c r="G285" i="343"/>
  <c r="F285" i="343"/>
  <c r="E285" i="343"/>
  <c r="E289" i="343" s="1"/>
  <c r="D285" i="343"/>
  <c r="D289" i="343" s="1"/>
  <c r="C285" i="343"/>
  <c r="H285" i="343" s="1"/>
  <c r="N283" i="343"/>
  <c r="L283" i="343"/>
  <c r="K283" i="343"/>
  <c r="J283" i="343"/>
  <c r="I283" i="343"/>
  <c r="G283" i="343"/>
  <c r="F283" i="343"/>
  <c r="E283" i="343"/>
  <c r="D283" i="343"/>
  <c r="C283" i="343"/>
  <c r="N282" i="343"/>
  <c r="L282" i="343"/>
  <c r="K282" i="343"/>
  <c r="J282" i="343"/>
  <c r="I282" i="343"/>
  <c r="G282" i="343"/>
  <c r="F282" i="343"/>
  <c r="E282" i="343"/>
  <c r="D282" i="343"/>
  <c r="C282" i="343"/>
  <c r="N281" i="343"/>
  <c r="J281" i="343"/>
  <c r="I281" i="343"/>
  <c r="F281" i="343"/>
  <c r="L279" i="343"/>
  <c r="H279" i="343"/>
  <c r="M279" i="343" s="1"/>
  <c r="O279" i="343" s="1"/>
  <c r="E279" i="343"/>
  <c r="E281" i="343" s="1"/>
  <c r="L278" i="343"/>
  <c r="H278" i="343"/>
  <c r="M278" i="343" s="1"/>
  <c r="O278" i="343" s="1"/>
  <c r="L277" i="343"/>
  <c r="H277" i="343"/>
  <c r="L275" i="343"/>
  <c r="H275" i="343"/>
  <c r="M275" i="343" s="1"/>
  <c r="L274" i="343"/>
  <c r="H274" i="343"/>
  <c r="K273" i="343"/>
  <c r="L273" i="343" s="1"/>
  <c r="L281" i="343" s="1"/>
  <c r="J273" i="343"/>
  <c r="I273" i="343"/>
  <c r="G273" i="343"/>
  <c r="G281" i="343" s="1"/>
  <c r="F273" i="343"/>
  <c r="E273" i="343"/>
  <c r="D273" i="343"/>
  <c r="D281" i="343" s="1"/>
  <c r="C273" i="343"/>
  <c r="N270" i="343"/>
  <c r="M270" i="343"/>
  <c r="L270" i="343"/>
  <c r="K270" i="343"/>
  <c r="J270" i="343"/>
  <c r="I270" i="343"/>
  <c r="H270" i="343"/>
  <c r="G270" i="343"/>
  <c r="F270" i="343"/>
  <c r="E270" i="343"/>
  <c r="D270" i="343"/>
  <c r="C270" i="343"/>
  <c r="N269" i="343"/>
  <c r="M269" i="343"/>
  <c r="K269" i="343"/>
  <c r="J269" i="343"/>
  <c r="I269" i="343"/>
  <c r="G269" i="343"/>
  <c r="F269" i="343"/>
  <c r="E269" i="343"/>
  <c r="D269" i="343"/>
  <c r="C269" i="343"/>
  <c r="N268" i="343"/>
  <c r="K268" i="343"/>
  <c r="J268" i="343"/>
  <c r="I268" i="343"/>
  <c r="G268" i="343"/>
  <c r="F268" i="343"/>
  <c r="O267" i="343"/>
  <c r="O402" i="343" s="1"/>
  <c r="M267" i="343"/>
  <c r="M402" i="343" s="1"/>
  <c r="L267" i="343"/>
  <c r="L402" i="343" s="1"/>
  <c r="H267" i="343"/>
  <c r="H402" i="343" s="1"/>
  <c r="O265" i="343"/>
  <c r="M265" i="343"/>
  <c r="L265" i="343"/>
  <c r="H265" i="343"/>
  <c r="O264" i="343"/>
  <c r="M264" i="343"/>
  <c r="L264" i="343"/>
  <c r="H264" i="343"/>
  <c r="O263" i="343"/>
  <c r="M263" i="343"/>
  <c r="L263" i="343"/>
  <c r="H263" i="343"/>
  <c r="O261" i="343"/>
  <c r="O270" i="343" s="1"/>
  <c r="M261" i="343"/>
  <c r="L261" i="343"/>
  <c r="H261" i="343"/>
  <c r="O260" i="343"/>
  <c r="O269" i="343" s="1"/>
  <c r="P268" i="343" s="1"/>
  <c r="M260" i="343"/>
  <c r="L260" i="343"/>
  <c r="L269" i="343" s="1"/>
  <c r="H260" i="343"/>
  <c r="H269" i="343" s="1"/>
  <c r="L259" i="343"/>
  <c r="L268" i="343" s="1"/>
  <c r="E259" i="343"/>
  <c r="E268" i="343" s="1"/>
  <c r="D259" i="343"/>
  <c r="D268" i="343" s="1"/>
  <c r="C259" i="343"/>
  <c r="C268" i="343" s="1"/>
  <c r="N257" i="343"/>
  <c r="M257" i="343"/>
  <c r="K257" i="343"/>
  <c r="J257" i="343"/>
  <c r="I257" i="343"/>
  <c r="G257" i="343"/>
  <c r="F257" i="343"/>
  <c r="E257" i="343"/>
  <c r="D257" i="343"/>
  <c r="C257" i="343"/>
  <c r="N256" i="343"/>
  <c r="K256" i="343"/>
  <c r="J256" i="343"/>
  <c r="I256" i="343"/>
  <c r="G256" i="343"/>
  <c r="F256" i="343"/>
  <c r="E256" i="343"/>
  <c r="D256" i="343"/>
  <c r="C256" i="343"/>
  <c r="N255" i="343"/>
  <c r="L253" i="343"/>
  <c r="M253" i="343" s="1"/>
  <c r="O253" i="343" s="1"/>
  <c r="H253" i="343"/>
  <c r="L252" i="343"/>
  <c r="M252" i="343" s="1"/>
  <c r="O252" i="343" s="1"/>
  <c r="H252" i="343"/>
  <c r="M250" i="343"/>
  <c r="O250" i="343" s="1"/>
  <c r="O257" i="343" s="1"/>
  <c r="L250" i="343"/>
  <c r="L257" i="343" s="1"/>
  <c r="H250" i="343"/>
  <c r="H257" i="343" s="1"/>
  <c r="M249" i="343"/>
  <c r="L249" i="343"/>
  <c r="H249" i="343"/>
  <c r="H256" i="343" s="1"/>
  <c r="L248" i="343"/>
  <c r="K248" i="343"/>
  <c r="K255" i="343" s="1"/>
  <c r="J248" i="343"/>
  <c r="J255" i="343" s="1"/>
  <c r="I248" i="343"/>
  <c r="I255" i="343" s="1"/>
  <c r="G248" i="343"/>
  <c r="G255" i="343" s="1"/>
  <c r="F248" i="343"/>
  <c r="F255" i="343" s="1"/>
  <c r="E248" i="343"/>
  <c r="E255" i="343" s="1"/>
  <c r="D248" i="343"/>
  <c r="D255" i="343" s="1"/>
  <c r="C248" i="343"/>
  <c r="C255" i="343" s="1"/>
  <c r="N246" i="343"/>
  <c r="K246" i="343"/>
  <c r="J246" i="343"/>
  <c r="I246" i="343"/>
  <c r="H246" i="343"/>
  <c r="G246" i="343"/>
  <c r="F246" i="343"/>
  <c r="E246" i="343"/>
  <c r="D246" i="343"/>
  <c r="C246" i="343"/>
  <c r="N245" i="343"/>
  <c r="K245" i="343"/>
  <c r="J245" i="343"/>
  <c r="I245" i="343"/>
  <c r="G245" i="343"/>
  <c r="F245" i="343"/>
  <c r="E245" i="343"/>
  <c r="D245" i="343"/>
  <c r="C245" i="343"/>
  <c r="N244" i="343"/>
  <c r="N271" i="343" s="1"/>
  <c r="K244" i="343"/>
  <c r="J244" i="343"/>
  <c r="I244" i="343"/>
  <c r="G244" i="343"/>
  <c r="F244" i="343"/>
  <c r="E244" i="343"/>
  <c r="L242" i="343"/>
  <c r="H242" i="343"/>
  <c r="E242" i="343"/>
  <c r="M240" i="343"/>
  <c r="L240" i="343"/>
  <c r="L246" i="343" s="1"/>
  <c r="H240" i="343"/>
  <c r="M239" i="343"/>
  <c r="L239" i="343"/>
  <c r="H239" i="343"/>
  <c r="H245" i="343" s="1"/>
  <c r="L238" i="343"/>
  <c r="E238" i="343"/>
  <c r="D238" i="343"/>
  <c r="D244" i="343" s="1"/>
  <c r="D271" i="343" s="1"/>
  <c r="C238" i="343"/>
  <c r="C244" i="343" s="1"/>
  <c r="C271" i="343" s="1"/>
  <c r="N234" i="343"/>
  <c r="L234" i="343"/>
  <c r="K234" i="343"/>
  <c r="J234" i="343"/>
  <c r="I234" i="343"/>
  <c r="H234" i="343"/>
  <c r="G234" i="343"/>
  <c r="F234" i="343"/>
  <c r="E234" i="343"/>
  <c r="D234" i="343"/>
  <c r="C234" i="343"/>
  <c r="N233" i="343"/>
  <c r="L233" i="343"/>
  <c r="K233" i="343"/>
  <c r="J233" i="343"/>
  <c r="I233" i="343"/>
  <c r="H233" i="343"/>
  <c r="G233" i="343"/>
  <c r="F233" i="343"/>
  <c r="E233" i="343"/>
  <c r="D233" i="343"/>
  <c r="C233" i="343"/>
  <c r="N232" i="343"/>
  <c r="K232" i="343"/>
  <c r="J232" i="343"/>
  <c r="I232" i="343"/>
  <c r="G232" i="343"/>
  <c r="F232" i="343"/>
  <c r="C232" i="343"/>
  <c r="L230" i="343"/>
  <c r="H230" i="343"/>
  <c r="M230" i="343" s="1"/>
  <c r="L228" i="343"/>
  <c r="H228" i="343"/>
  <c r="M228" i="343" s="1"/>
  <c r="M234" i="343" s="1"/>
  <c r="O227" i="343"/>
  <c r="L227" i="343"/>
  <c r="H227" i="343"/>
  <c r="M227" i="343" s="1"/>
  <c r="L226" i="343"/>
  <c r="L232" i="343" s="1"/>
  <c r="H226" i="343"/>
  <c r="E226" i="343"/>
  <c r="E232" i="343" s="1"/>
  <c r="D226" i="343"/>
  <c r="D232" i="343" s="1"/>
  <c r="C226" i="343"/>
  <c r="N224" i="343"/>
  <c r="K224" i="343"/>
  <c r="J224" i="343"/>
  <c r="I224" i="343"/>
  <c r="G224" i="343"/>
  <c r="F224" i="343"/>
  <c r="E224" i="343"/>
  <c r="D224" i="343"/>
  <c r="C224" i="343"/>
  <c r="N223" i="343"/>
  <c r="L223" i="343"/>
  <c r="K223" i="343"/>
  <c r="J223" i="343"/>
  <c r="I223" i="343"/>
  <c r="H223" i="343"/>
  <c r="G223" i="343"/>
  <c r="F223" i="343"/>
  <c r="E223" i="343"/>
  <c r="D223" i="343"/>
  <c r="C223" i="343"/>
  <c r="N222" i="343"/>
  <c r="K222" i="343"/>
  <c r="J222" i="343"/>
  <c r="I222" i="343"/>
  <c r="G222" i="343"/>
  <c r="F222" i="343"/>
  <c r="M221" i="343"/>
  <c r="O221" i="343" s="1"/>
  <c r="L221" i="343"/>
  <c r="H221" i="343"/>
  <c r="M219" i="343"/>
  <c r="O219" i="343" s="1"/>
  <c r="L219" i="343"/>
  <c r="H219" i="343"/>
  <c r="M217" i="343"/>
  <c r="L217" i="343"/>
  <c r="L224" i="343" s="1"/>
  <c r="H217" i="343"/>
  <c r="H224" i="343" s="1"/>
  <c r="M216" i="343"/>
  <c r="L216" i="343"/>
  <c r="H216" i="343"/>
  <c r="L215" i="343"/>
  <c r="L222" i="343" s="1"/>
  <c r="E215" i="343"/>
  <c r="E222" i="343" s="1"/>
  <c r="D215" i="343"/>
  <c r="D222" i="343" s="1"/>
  <c r="C215" i="343"/>
  <c r="C222" i="343" s="1"/>
  <c r="N213" i="343"/>
  <c r="K213" i="343"/>
  <c r="J213" i="343"/>
  <c r="I213" i="343"/>
  <c r="G213" i="343"/>
  <c r="F213" i="343"/>
  <c r="E213" i="343"/>
  <c r="D213" i="343"/>
  <c r="C213" i="343"/>
  <c r="N212" i="343"/>
  <c r="K212" i="343"/>
  <c r="J212" i="343"/>
  <c r="I212" i="343"/>
  <c r="G212" i="343"/>
  <c r="F212" i="343"/>
  <c r="E212" i="343"/>
  <c r="D212" i="343"/>
  <c r="C212" i="343"/>
  <c r="N211" i="343"/>
  <c r="L211" i="343"/>
  <c r="K211" i="343"/>
  <c r="J211" i="343"/>
  <c r="I211" i="343"/>
  <c r="G211" i="343"/>
  <c r="F211" i="343"/>
  <c r="E211" i="343"/>
  <c r="M209" i="343"/>
  <c r="O209" i="343" s="1"/>
  <c r="L209" i="343"/>
  <c r="H209" i="343"/>
  <c r="M208" i="343"/>
  <c r="O208" i="343" s="1"/>
  <c r="L208" i="343"/>
  <c r="H208" i="343"/>
  <c r="L206" i="343"/>
  <c r="H206" i="343"/>
  <c r="H213" i="343" s="1"/>
  <c r="L205" i="343"/>
  <c r="L212" i="343" s="1"/>
  <c r="H205" i="343"/>
  <c r="H212" i="343" s="1"/>
  <c r="L204" i="343"/>
  <c r="E204" i="343"/>
  <c r="D204" i="343"/>
  <c r="D211" i="343" s="1"/>
  <c r="C204" i="343"/>
  <c r="N202" i="343"/>
  <c r="L202" i="343"/>
  <c r="K202" i="343"/>
  <c r="J202" i="343"/>
  <c r="I202" i="343"/>
  <c r="H202" i="343"/>
  <c r="G202" i="343"/>
  <c r="F202" i="343"/>
  <c r="E202" i="343"/>
  <c r="D202" i="343"/>
  <c r="C202" i="343"/>
  <c r="N201" i="343"/>
  <c r="K201" i="343"/>
  <c r="J201" i="343"/>
  <c r="I201" i="343"/>
  <c r="G201" i="343"/>
  <c r="F201" i="343"/>
  <c r="E201" i="343"/>
  <c r="D201" i="343"/>
  <c r="C201" i="343"/>
  <c r="N200" i="343"/>
  <c r="K200" i="343"/>
  <c r="J200" i="343"/>
  <c r="I200" i="343"/>
  <c r="G200" i="343"/>
  <c r="F200" i="343"/>
  <c r="D200" i="343"/>
  <c r="L199" i="343"/>
  <c r="H199" i="343"/>
  <c r="L197" i="343"/>
  <c r="H197" i="343"/>
  <c r="M197" i="343" s="1"/>
  <c r="O197" i="343" s="1"/>
  <c r="L195" i="343"/>
  <c r="H195" i="343"/>
  <c r="L194" i="343"/>
  <c r="L201" i="343" s="1"/>
  <c r="H194" i="343"/>
  <c r="L193" i="343"/>
  <c r="L200" i="343" s="1"/>
  <c r="E193" i="343"/>
  <c r="E200" i="343" s="1"/>
  <c r="D193" i="343"/>
  <c r="C193" i="343"/>
  <c r="N191" i="343"/>
  <c r="K191" i="343"/>
  <c r="J191" i="343"/>
  <c r="I191" i="343"/>
  <c r="G191" i="343"/>
  <c r="F191" i="343"/>
  <c r="E191" i="343"/>
  <c r="D191" i="343"/>
  <c r="C191" i="343"/>
  <c r="N190" i="343"/>
  <c r="L190" i="343"/>
  <c r="K190" i="343"/>
  <c r="J190" i="343"/>
  <c r="I190" i="343"/>
  <c r="G190" i="343"/>
  <c r="F190" i="343"/>
  <c r="D190" i="343"/>
  <c r="C190" i="343"/>
  <c r="N189" i="343"/>
  <c r="K189" i="343"/>
  <c r="J189" i="343"/>
  <c r="I189" i="343"/>
  <c r="G189" i="343"/>
  <c r="F189" i="343"/>
  <c r="C189" i="343"/>
  <c r="L187" i="343"/>
  <c r="E187" i="343"/>
  <c r="L186" i="343"/>
  <c r="H186" i="343"/>
  <c r="L184" i="343"/>
  <c r="L191" i="343" s="1"/>
  <c r="H184" i="343"/>
  <c r="L183" i="343"/>
  <c r="H183" i="343"/>
  <c r="L182" i="343"/>
  <c r="L189" i="343" s="1"/>
  <c r="H182" i="343"/>
  <c r="E182" i="343"/>
  <c r="D182" i="343"/>
  <c r="D189" i="343" s="1"/>
  <c r="C182" i="343"/>
  <c r="N180" i="343"/>
  <c r="K180" i="343"/>
  <c r="J180" i="343"/>
  <c r="I180" i="343"/>
  <c r="G180" i="343"/>
  <c r="F180" i="343"/>
  <c r="E180" i="343"/>
  <c r="D180" i="343"/>
  <c r="C180" i="343"/>
  <c r="N179" i="343"/>
  <c r="K179" i="343"/>
  <c r="J179" i="343"/>
  <c r="I179" i="343"/>
  <c r="G179" i="343"/>
  <c r="F179" i="343"/>
  <c r="D179" i="343"/>
  <c r="C179" i="343"/>
  <c r="N178" i="343"/>
  <c r="K178" i="343"/>
  <c r="J178" i="343"/>
  <c r="I178" i="343"/>
  <c r="G178" i="343"/>
  <c r="F178" i="343"/>
  <c r="C178" i="343"/>
  <c r="L176" i="343"/>
  <c r="E176" i="343"/>
  <c r="E179" i="343" s="1"/>
  <c r="L175" i="343"/>
  <c r="H175" i="343"/>
  <c r="L173" i="343"/>
  <c r="L180" i="343" s="1"/>
  <c r="H173" i="343"/>
  <c r="M173" i="343" s="1"/>
  <c r="L172" i="343"/>
  <c r="L179" i="343" s="1"/>
  <c r="H172" i="343"/>
  <c r="L171" i="343"/>
  <c r="H171" i="343"/>
  <c r="E171" i="343"/>
  <c r="E178" i="343" s="1"/>
  <c r="D171" i="343"/>
  <c r="D178" i="343" s="1"/>
  <c r="C171" i="343"/>
  <c r="N169" i="343"/>
  <c r="L169" i="343"/>
  <c r="K169" i="343"/>
  <c r="J169" i="343"/>
  <c r="I169" i="343"/>
  <c r="G169" i="343"/>
  <c r="F169" i="343"/>
  <c r="E169" i="343"/>
  <c r="D169" i="343"/>
  <c r="C169" i="343"/>
  <c r="N168" i="343"/>
  <c r="M168" i="343"/>
  <c r="L168" i="343"/>
  <c r="K168" i="343"/>
  <c r="J168" i="343"/>
  <c r="I168" i="343"/>
  <c r="G168" i="343"/>
  <c r="F168" i="343"/>
  <c r="E168" i="343"/>
  <c r="D168" i="343"/>
  <c r="C168" i="343"/>
  <c r="N167" i="343"/>
  <c r="K167" i="343"/>
  <c r="J167" i="343"/>
  <c r="I167" i="343"/>
  <c r="G167" i="343"/>
  <c r="F167" i="343"/>
  <c r="C167" i="343"/>
  <c r="O165" i="343"/>
  <c r="L165" i="343"/>
  <c r="H165" i="343"/>
  <c r="M165" i="343" s="1"/>
  <c r="L163" i="343"/>
  <c r="H163" i="343"/>
  <c r="L162" i="343"/>
  <c r="H162" i="343"/>
  <c r="M162" i="343" s="1"/>
  <c r="O162" i="343" s="1"/>
  <c r="O168" i="343" s="1"/>
  <c r="L161" i="343"/>
  <c r="L167" i="343" s="1"/>
  <c r="E161" i="343"/>
  <c r="E167" i="343" s="1"/>
  <c r="D161" i="343"/>
  <c r="D167" i="343" s="1"/>
  <c r="C161" i="343"/>
  <c r="N159" i="343"/>
  <c r="K159" i="343"/>
  <c r="J159" i="343"/>
  <c r="I159" i="343"/>
  <c r="G159" i="343"/>
  <c r="F159" i="343"/>
  <c r="E159" i="343"/>
  <c r="D159" i="343"/>
  <c r="C159" i="343"/>
  <c r="N158" i="343"/>
  <c r="L158" i="343"/>
  <c r="K158" i="343"/>
  <c r="J158" i="343"/>
  <c r="I158" i="343"/>
  <c r="H158" i="343"/>
  <c r="G158" i="343"/>
  <c r="F158" i="343"/>
  <c r="E158" i="343"/>
  <c r="D158" i="343"/>
  <c r="C158" i="343"/>
  <c r="N157" i="343"/>
  <c r="N235" i="343" s="1"/>
  <c r="K157" i="343"/>
  <c r="J157" i="343"/>
  <c r="I157" i="343"/>
  <c r="G157" i="343"/>
  <c r="F157" i="343"/>
  <c r="O156" i="343"/>
  <c r="O397" i="343" s="1"/>
  <c r="M156" i="343"/>
  <c r="L156" i="343"/>
  <c r="L397" i="343" s="1"/>
  <c r="H156" i="343"/>
  <c r="H397" i="343" s="1"/>
  <c r="O154" i="343"/>
  <c r="M154" i="343"/>
  <c r="L154" i="343"/>
  <c r="H154" i="343"/>
  <c r="O153" i="343"/>
  <c r="M153" i="343"/>
  <c r="L153" i="343"/>
  <c r="H153" i="343"/>
  <c r="O151" i="343"/>
  <c r="O159" i="343" s="1"/>
  <c r="M151" i="343"/>
  <c r="M159" i="343" s="1"/>
  <c r="L151" i="343"/>
  <c r="L159" i="343" s="1"/>
  <c r="H151" i="343"/>
  <c r="H159" i="343" s="1"/>
  <c r="O150" i="343"/>
  <c r="O158" i="343" s="1"/>
  <c r="P157" i="343" s="1"/>
  <c r="M150" i="343"/>
  <c r="M158" i="343" s="1"/>
  <c r="L150" i="343"/>
  <c r="H150" i="343"/>
  <c r="L149" i="343"/>
  <c r="L157" i="343" s="1"/>
  <c r="E149" i="343"/>
  <c r="E157" i="343" s="1"/>
  <c r="D149" i="343"/>
  <c r="D157" i="343" s="1"/>
  <c r="C149" i="343"/>
  <c r="C157" i="343" s="1"/>
  <c r="N147" i="343"/>
  <c r="K147" i="343"/>
  <c r="J147" i="343"/>
  <c r="I147" i="343"/>
  <c r="H147" i="343"/>
  <c r="G147" i="343"/>
  <c r="F147" i="343"/>
  <c r="E147" i="343"/>
  <c r="D147" i="343"/>
  <c r="C147" i="343"/>
  <c r="N146" i="343"/>
  <c r="K146" i="343"/>
  <c r="J146" i="343"/>
  <c r="I146" i="343"/>
  <c r="G146" i="343"/>
  <c r="F146" i="343"/>
  <c r="E146" i="343"/>
  <c r="D146" i="343"/>
  <c r="C146" i="343"/>
  <c r="N145" i="343"/>
  <c r="K145" i="343"/>
  <c r="J145" i="343"/>
  <c r="I145" i="343"/>
  <c r="G145" i="343"/>
  <c r="F145" i="343"/>
  <c r="L143" i="343"/>
  <c r="M143" i="343" s="1"/>
  <c r="O143" i="343" s="1"/>
  <c r="H143" i="343"/>
  <c r="L142" i="343"/>
  <c r="L145" i="343" s="1"/>
  <c r="H142" i="343"/>
  <c r="E142" i="343"/>
  <c r="M140" i="343"/>
  <c r="M147" i="343" s="1"/>
  <c r="L140" i="343"/>
  <c r="L147" i="343" s="1"/>
  <c r="H140" i="343"/>
  <c r="M139" i="343"/>
  <c r="O139" i="343" s="1"/>
  <c r="L139" i="343"/>
  <c r="H139" i="343"/>
  <c r="H146" i="343" s="1"/>
  <c r="L138" i="343"/>
  <c r="E138" i="343"/>
  <c r="E145" i="343" s="1"/>
  <c r="D138" i="343"/>
  <c r="D145" i="343" s="1"/>
  <c r="C138" i="343"/>
  <c r="C145" i="343" s="1"/>
  <c r="N136" i="343"/>
  <c r="K136" i="343"/>
  <c r="J136" i="343"/>
  <c r="I136" i="343"/>
  <c r="G136" i="343"/>
  <c r="F136" i="343"/>
  <c r="E136" i="343"/>
  <c r="D136" i="343"/>
  <c r="C136" i="343"/>
  <c r="N135" i="343"/>
  <c r="K135" i="343"/>
  <c r="J135" i="343"/>
  <c r="I135" i="343"/>
  <c r="G135" i="343"/>
  <c r="F135" i="343"/>
  <c r="E135" i="343"/>
  <c r="D135" i="343"/>
  <c r="C135" i="343"/>
  <c r="N134" i="343"/>
  <c r="K134" i="343"/>
  <c r="J134" i="343"/>
  <c r="I134" i="343"/>
  <c r="G134" i="343"/>
  <c r="F134" i="343"/>
  <c r="E134" i="343"/>
  <c r="D134" i="343"/>
  <c r="M132" i="343"/>
  <c r="O132" i="343" s="1"/>
  <c r="L132" i="343"/>
  <c r="H132" i="343"/>
  <c r="L131" i="343"/>
  <c r="M131" i="343" s="1"/>
  <c r="O131" i="343" s="1"/>
  <c r="H131" i="343"/>
  <c r="L130" i="343"/>
  <c r="M130" i="343" s="1"/>
  <c r="O130" i="343" s="1"/>
  <c r="H130" i="343"/>
  <c r="M129" i="343"/>
  <c r="O129" i="343" s="1"/>
  <c r="L129" i="343"/>
  <c r="H129" i="343"/>
  <c r="M127" i="343"/>
  <c r="L127" i="343"/>
  <c r="L136" i="343" s="1"/>
  <c r="H127" i="343"/>
  <c r="H136" i="343" s="1"/>
  <c r="L126" i="343"/>
  <c r="H126" i="343"/>
  <c r="H135" i="343" s="1"/>
  <c r="L125" i="343"/>
  <c r="L134" i="343" s="1"/>
  <c r="E125" i="343"/>
  <c r="D125" i="343"/>
  <c r="C125" i="343"/>
  <c r="N123" i="343"/>
  <c r="M123" i="343"/>
  <c r="L123" i="343"/>
  <c r="K123" i="343"/>
  <c r="J123" i="343"/>
  <c r="I123" i="343"/>
  <c r="G123" i="343"/>
  <c r="F123" i="343"/>
  <c r="E123" i="343"/>
  <c r="D123" i="343"/>
  <c r="C123" i="343"/>
  <c r="N122" i="343"/>
  <c r="K122" i="343"/>
  <c r="J122" i="343"/>
  <c r="I122" i="343"/>
  <c r="G122" i="343"/>
  <c r="F122" i="343"/>
  <c r="E122" i="343"/>
  <c r="D122" i="343"/>
  <c r="C122" i="343"/>
  <c r="N121" i="343"/>
  <c r="D121" i="343"/>
  <c r="L119" i="343"/>
  <c r="H119" i="343"/>
  <c r="M119" i="343" s="1"/>
  <c r="O119" i="343" s="1"/>
  <c r="L118" i="343"/>
  <c r="H118" i="343"/>
  <c r="L117" i="343"/>
  <c r="H117" i="343"/>
  <c r="M117" i="343" s="1"/>
  <c r="O117" i="343" s="1"/>
  <c r="L116" i="343"/>
  <c r="H116" i="343"/>
  <c r="L114" i="343"/>
  <c r="H114" i="343"/>
  <c r="M114" i="343" s="1"/>
  <c r="O114" i="343" s="1"/>
  <c r="O123" i="343" s="1"/>
  <c r="L113" i="343"/>
  <c r="L122" i="343" s="1"/>
  <c r="H113" i="343"/>
  <c r="K112" i="343"/>
  <c r="K121" i="343" s="1"/>
  <c r="J112" i="343"/>
  <c r="J121" i="343" s="1"/>
  <c r="I112" i="343"/>
  <c r="I121" i="343" s="1"/>
  <c r="G112" i="343"/>
  <c r="G121" i="343" s="1"/>
  <c r="F112" i="343"/>
  <c r="F121" i="343" s="1"/>
  <c r="F235" i="343" s="1"/>
  <c r="E112" i="343"/>
  <c r="E121" i="343" s="1"/>
  <c r="D112" i="343"/>
  <c r="C112" i="343"/>
  <c r="C121" i="343" s="1"/>
  <c r="N110" i="343"/>
  <c r="K110" i="343"/>
  <c r="J110" i="343"/>
  <c r="I110" i="343"/>
  <c r="H110" i="343"/>
  <c r="G110" i="343"/>
  <c r="F110" i="343"/>
  <c r="E110" i="343"/>
  <c r="D110" i="343"/>
  <c r="C110" i="343"/>
  <c r="N109" i="343"/>
  <c r="K109" i="343"/>
  <c r="J109" i="343"/>
  <c r="I109" i="343"/>
  <c r="G109" i="343"/>
  <c r="F109" i="343"/>
  <c r="E109" i="343"/>
  <c r="D109" i="343"/>
  <c r="C109" i="343"/>
  <c r="N108" i="343"/>
  <c r="K108" i="343"/>
  <c r="G108" i="343"/>
  <c r="G235" i="343" s="1"/>
  <c r="C108" i="343"/>
  <c r="L106" i="343"/>
  <c r="H106" i="343"/>
  <c r="M106" i="343" s="1"/>
  <c r="O106" i="343" s="1"/>
  <c r="E106" i="343"/>
  <c r="L105" i="343"/>
  <c r="M105" i="343" s="1"/>
  <c r="O105" i="343" s="1"/>
  <c r="H105" i="343"/>
  <c r="M103" i="343"/>
  <c r="O103" i="343" s="1"/>
  <c r="O110" i="343" s="1"/>
  <c r="L103" i="343"/>
  <c r="L110" i="343" s="1"/>
  <c r="H103" i="343"/>
  <c r="M102" i="343"/>
  <c r="L102" i="343"/>
  <c r="H102" i="343"/>
  <c r="L101" i="343"/>
  <c r="L108" i="343" s="1"/>
  <c r="K101" i="343"/>
  <c r="J101" i="343"/>
  <c r="J108" i="343" s="1"/>
  <c r="I101" i="343"/>
  <c r="I108" i="343" s="1"/>
  <c r="H101" i="343"/>
  <c r="G101" i="343"/>
  <c r="F101" i="343"/>
  <c r="F108" i="343" s="1"/>
  <c r="E101" i="343"/>
  <c r="E108" i="343" s="1"/>
  <c r="D101" i="343"/>
  <c r="D108" i="343" s="1"/>
  <c r="C101" i="343"/>
  <c r="N98" i="343"/>
  <c r="K98" i="343"/>
  <c r="J98" i="343"/>
  <c r="I98" i="343"/>
  <c r="G98" i="343"/>
  <c r="F98" i="343"/>
  <c r="E98" i="343"/>
  <c r="D98" i="343"/>
  <c r="C98" i="343"/>
  <c r="N97" i="343"/>
  <c r="K97" i="343"/>
  <c r="J97" i="343"/>
  <c r="I97" i="343"/>
  <c r="G97" i="343"/>
  <c r="F97" i="343"/>
  <c r="E97" i="343"/>
  <c r="D97" i="343"/>
  <c r="C97" i="343"/>
  <c r="N96" i="343"/>
  <c r="K96" i="343"/>
  <c r="J96" i="343"/>
  <c r="I96" i="343"/>
  <c r="G96" i="343"/>
  <c r="F96" i="343"/>
  <c r="E96" i="343"/>
  <c r="D96" i="343"/>
  <c r="M94" i="343"/>
  <c r="L94" i="343"/>
  <c r="L395" i="343" s="1"/>
  <c r="H94" i="343"/>
  <c r="H395" i="343" s="1"/>
  <c r="L93" i="343"/>
  <c r="M93" i="343" s="1"/>
  <c r="O93" i="343" s="1"/>
  <c r="H93" i="343"/>
  <c r="L92" i="343"/>
  <c r="M92" i="343" s="1"/>
  <c r="O92" i="343" s="1"/>
  <c r="H92" i="343"/>
  <c r="M90" i="343"/>
  <c r="L90" i="343"/>
  <c r="L98" i="343" s="1"/>
  <c r="H90" i="343"/>
  <c r="H98" i="343" s="1"/>
  <c r="M89" i="343"/>
  <c r="L89" i="343"/>
  <c r="H89" i="343"/>
  <c r="H97" i="343" s="1"/>
  <c r="L88" i="343"/>
  <c r="L96" i="343" s="1"/>
  <c r="E88" i="343"/>
  <c r="D88" i="343"/>
  <c r="C88" i="343"/>
  <c r="N86" i="343"/>
  <c r="K86" i="343"/>
  <c r="J86" i="343"/>
  <c r="I86" i="343"/>
  <c r="G86" i="343"/>
  <c r="F86" i="343"/>
  <c r="E86" i="343"/>
  <c r="D86" i="343"/>
  <c r="C86" i="343"/>
  <c r="N85" i="343"/>
  <c r="K85" i="343"/>
  <c r="J85" i="343"/>
  <c r="I85" i="343"/>
  <c r="G85" i="343"/>
  <c r="F85" i="343"/>
  <c r="E85" i="343"/>
  <c r="D85" i="343"/>
  <c r="C85" i="343"/>
  <c r="N84" i="343"/>
  <c r="K84" i="343"/>
  <c r="J84" i="343"/>
  <c r="I84" i="343"/>
  <c r="G84" i="343"/>
  <c r="F84" i="343"/>
  <c r="D84" i="343"/>
  <c r="L82" i="343"/>
  <c r="H82" i="343"/>
  <c r="M82" i="343" s="1"/>
  <c r="O82" i="343" s="1"/>
  <c r="L80" i="343"/>
  <c r="L86" i="343" s="1"/>
  <c r="H80" i="343"/>
  <c r="H86" i="343" s="1"/>
  <c r="L79" i="343"/>
  <c r="L85" i="343" s="1"/>
  <c r="H79" i="343"/>
  <c r="L78" i="343"/>
  <c r="L84" i="343" s="1"/>
  <c r="E78" i="343"/>
  <c r="E84" i="343" s="1"/>
  <c r="D78" i="343"/>
  <c r="C78" i="343"/>
  <c r="C84" i="343" s="1"/>
  <c r="N76" i="343"/>
  <c r="K76" i="343"/>
  <c r="J76" i="343"/>
  <c r="I76" i="343"/>
  <c r="G76" i="343"/>
  <c r="F76" i="343"/>
  <c r="E76" i="343"/>
  <c r="D76" i="343"/>
  <c r="C76" i="343"/>
  <c r="N75" i="343"/>
  <c r="K75" i="343"/>
  <c r="J75" i="343"/>
  <c r="I75" i="343"/>
  <c r="G75" i="343"/>
  <c r="F75" i="343"/>
  <c r="D75" i="343"/>
  <c r="C75" i="343"/>
  <c r="N74" i="343"/>
  <c r="K74" i="343"/>
  <c r="J74" i="343"/>
  <c r="I74" i="343"/>
  <c r="G74" i="343"/>
  <c r="F74" i="343"/>
  <c r="C74" i="343"/>
  <c r="L73" i="343"/>
  <c r="H73" i="343"/>
  <c r="M73" i="343" s="1"/>
  <c r="O73" i="343" s="1"/>
  <c r="O71" i="343"/>
  <c r="L71" i="343"/>
  <c r="H71" i="343"/>
  <c r="M71" i="343" s="1"/>
  <c r="O70" i="343"/>
  <c r="L70" i="343"/>
  <c r="H70" i="343"/>
  <c r="M70" i="343" s="1"/>
  <c r="E70" i="343"/>
  <c r="E75" i="343" s="1"/>
  <c r="L69" i="343"/>
  <c r="L391" i="343" s="1"/>
  <c r="H69" i="343"/>
  <c r="L68" i="343"/>
  <c r="H68" i="343"/>
  <c r="L66" i="343"/>
  <c r="L76" i="343" s="1"/>
  <c r="H66" i="343"/>
  <c r="M66" i="343" s="1"/>
  <c r="L65" i="343"/>
  <c r="H65" i="343"/>
  <c r="L64" i="343"/>
  <c r="H64" i="343"/>
  <c r="E64" i="343"/>
  <c r="E74" i="343" s="1"/>
  <c r="D64" i="343"/>
  <c r="D74" i="343" s="1"/>
  <c r="C64" i="343"/>
  <c r="N62" i="343"/>
  <c r="L62" i="343"/>
  <c r="K62" i="343"/>
  <c r="J62" i="343"/>
  <c r="I62" i="343"/>
  <c r="G62" i="343"/>
  <c r="F62" i="343"/>
  <c r="E62" i="343"/>
  <c r="D62" i="343"/>
  <c r="C62" i="343"/>
  <c r="N61" i="343"/>
  <c r="L61" i="343"/>
  <c r="K61" i="343"/>
  <c r="J61" i="343"/>
  <c r="I61" i="343"/>
  <c r="G61" i="343"/>
  <c r="F61" i="343"/>
  <c r="E61" i="343"/>
  <c r="D61" i="343"/>
  <c r="C61" i="343"/>
  <c r="N60" i="343"/>
  <c r="K60" i="343"/>
  <c r="J60" i="343"/>
  <c r="I60" i="343"/>
  <c r="G60" i="343"/>
  <c r="F60" i="343"/>
  <c r="C60" i="343"/>
  <c r="L59" i="343"/>
  <c r="L400" i="343" s="1"/>
  <c r="H59" i="343"/>
  <c r="O57" i="343"/>
  <c r="L57" i="343"/>
  <c r="H57" i="343"/>
  <c r="M57" i="343" s="1"/>
  <c r="L55" i="343"/>
  <c r="H55" i="343"/>
  <c r="M55" i="343" s="1"/>
  <c r="L54" i="343"/>
  <c r="H54" i="343"/>
  <c r="M54" i="343" s="1"/>
  <c r="M61" i="343" s="1"/>
  <c r="L53" i="343"/>
  <c r="L60" i="343" s="1"/>
  <c r="E53" i="343"/>
  <c r="E60" i="343" s="1"/>
  <c r="D53" i="343"/>
  <c r="D60" i="343" s="1"/>
  <c r="C53" i="343"/>
  <c r="N51" i="343"/>
  <c r="K51" i="343"/>
  <c r="J51" i="343"/>
  <c r="I51" i="343"/>
  <c r="G51" i="343"/>
  <c r="F51" i="343"/>
  <c r="E51" i="343"/>
  <c r="D51" i="343"/>
  <c r="C51" i="343"/>
  <c r="N50" i="343"/>
  <c r="K50" i="343"/>
  <c r="J50" i="343"/>
  <c r="G50" i="343"/>
  <c r="F50" i="343"/>
  <c r="D50" i="343"/>
  <c r="C50" i="343"/>
  <c r="N49" i="343"/>
  <c r="K49" i="343"/>
  <c r="J49" i="343"/>
  <c r="I49" i="343"/>
  <c r="G49" i="343"/>
  <c r="F49" i="343"/>
  <c r="D49" i="343"/>
  <c r="M47" i="343"/>
  <c r="O47" i="343" s="1"/>
  <c r="L47" i="343"/>
  <c r="H47" i="343"/>
  <c r="L46" i="343"/>
  <c r="I46" i="343"/>
  <c r="I392" i="343" s="1"/>
  <c r="I425" i="343" s="1"/>
  <c r="E46" i="343"/>
  <c r="E50" i="343" s="1"/>
  <c r="L45" i="343"/>
  <c r="H45" i="343"/>
  <c r="L43" i="343"/>
  <c r="L51" i="343" s="1"/>
  <c r="H43" i="343"/>
  <c r="L42" i="343"/>
  <c r="L50" i="343" s="1"/>
  <c r="H42" i="343"/>
  <c r="L41" i="343"/>
  <c r="L49" i="343" s="1"/>
  <c r="H41" i="343"/>
  <c r="E41" i="343"/>
  <c r="D41" i="343"/>
  <c r="C41" i="343"/>
  <c r="C49" i="343" s="1"/>
  <c r="O39" i="343"/>
  <c r="N39" i="343"/>
  <c r="L39" i="343"/>
  <c r="K39" i="343"/>
  <c r="J39" i="343"/>
  <c r="I39" i="343"/>
  <c r="G39" i="343"/>
  <c r="F39" i="343"/>
  <c r="E39" i="343"/>
  <c r="D39" i="343"/>
  <c r="C39" i="343"/>
  <c r="N38" i="343"/>
  <c r="L38" i="343"/>
  <c r="K38" i="343"/>
  <c r="J38" i="343"/>
  <c r="I38" i="343"/>
  <c r="G38" i="343"/>
  <c r="F38" i="343"/>
  <c r="E38" i="343"/>
  <c r="D38" i="343"/>
  <c r="C38" i="343"/>
  <c r="N37" i="343"/>
  <c r="N99" i="343" s="1"/>
  <c r="K37" i="343"/>
  <c r="J37" i="343"/>
  <c r="J99" i="343" s="1"/>
  <c r="I37" i="343"/>
  <c r="I99" i="343" s="1"/>
  <c r="G37" i="343"/>
  <c r="G99" i="343" s="1"/>
  <c r="F37" i="343"/>
  <c r="C37" i="343"/>
  <c r="O35" i="343"/>
  <c r="L35" i="343"/>
  <c r="H35" i="343"/>
  <c r="M35" i="343" s="1"/>
  <c r="O33" i="343"/>
  <c r="L33" i="343"/>
  <c r="H33" i="343"/>
  <c r="M33" i="343" s="1"/>
  <c r="M39" i="343" s="1"/>
  <c r="L32" i="343"/>
  <c r="H32" i="343"/>
  <c r="M32" i="343" s="1"/>
  <c r="M38" i="343" s="1"/>
  <c r="L31" i="343"/>
  <c r="L37" i="343" s="1"/>
  <c r="E31" i="343"/>
  <c r="E37" i="343" s="1"/>
  <c r="D31" i="343"/>
  <c r="D37" i="343" s="1"/>
  <c r="C31" i="343"/>
  <c r="N28" i="343"/>
  <c r="L28" i="343"/>
  <c r="K28" i="343"/>
  <c r="J28" i="343"/>
  <c r="I28" i="343"/>
  <c r="H28" i="343"/>
  <c r="G28" i="343"/>
  <c r="F28" i="343"/>
  <c r="E28" i="343"/>
  <c r="D28" i="343"/>
  <c r="C28" i="343"/>
  <c r="N27" i="343"/>
  <c r="K27" i="343"/>
  <c r="J27" i="343"/>
  <c r="I27" i="343"/>
  <c r="G27" i="343"/>
  <c r="F27" i="343"/>
  <c r="D27" i="343"/>
  <c r="C27" i="343"/>
  <c r="N26" i="343"/>
  <c r="K26" i="343"/>
  <c r="J26" i="343"/>
  <c r="F26" i="343"/>
  <c r="C26" i="343"/>
  <c r="L24" i="343"/>
  <c r="H24" i="343"/>
  <c r="M24" i="343" s="1"/>
  <c r="O24" i="343" s="1"/>
  <c r="L23" i="343"/>
  <c r="E23" i="343"/>
  <c r="E27" i="343" s="1"/>
  <c r="L22" i="343"/>
  <c r="H22" i="343"/>
  <c r="L20" i="343"/>
  <c r="H20" i="343"/>
  <c r="M20" i="343" s="1"/>
  <c r="L19" i="343"/>
  <c r="L27" i="343" s="1"/>
  <c r="H19" i="343"/>
  <c r="K18" i="343"/>
  <c r="L18" i="343" s="1"/>
  <c r="L26" i="343" s="1"/>
  <c r="J18" i="343"/>
  <c r="I18" i="343"/>
  <c r="I26" i="343" s="1"/>
  <c r="G18" i="343"/>
  <c r="G26" i="343" s="1"/>
  <c r="G29" i="343" s="1"/>
  <c r="G236" i="343" s="1"/>
  <c r="F18" i="343"/>
  <c r="E18" i="343"/>
  <c r="D18" i="343"/>
  <c r="D26" i="343" s="1"/>
  <c r="C18" i="343"/>
  <c r="H18" i="343" s="1"/>
  <c r="N16" i="343"/>
  <c r="K16" i="343"/>
  <c r="J16" i="343"/>
  <c r="I16" i="343"/>
  <c r="H16" i="343"/>
  <c r="G16" i="343"/>
  <c r="F16" i="343"/>
  <c r="E16" i="343"/>
  <c r="D16" i="343"/>
  <c r="C16" i="343"/>
  <c r="N15" i="343"/>
  <c r="N412" i="343" s="1"/>
  <c r="N419" i="343" s="1"/>
  <c r="K15" i="343"/>
  <c r="J15" i="343"/>
  <c r="I15" i="343"/>
  <c r="G15" i="343"/>
  <c r="F15" i="343"/>
  <c r="E15" i="343"/>
  <c r="D15" i="343"/>
  <c r="K14" i="343"/>
  <c r="K29" i="343" s="1"/>
  <c r="G14" i="343"/>
  <c r="D14" i="343"/>
  <c r="D29" i="343" s="1"/>
  <c r="C14" i="343"/>
  <c r="C29" i="343" s="1"/>
  <c r="L12" i="343"/>
  <c r="H12" i="343"/>
  <c r="E12" i="343"/>
  <c r="C12" i="343"/>
  <c r="C393" i="343" s="1"/>
  <c r="O11" i="343"/>
  <c r="M11" i="343"/>
  <c r="L11" i="343"/>
  <c r="H11" i="343"/>
  <c r="O10" i="343"/>
  <c r="M10" i="343"/>
  <c r="L10" i="343"/>
  <c r="M9" i="343"/>
  <c r="O9" i="343" s="1"/>
  <c r="O16" i="343" s="1"/>
  <c r="L9" i="343"/>
  <c r="L16" i="343" s="1"/>
  <c r="H9" i="343"/>
  <c r="L8" i="343"/>
  <c r="L15" i="343" s="1"/>
  <c r="H8" i="343"/>
  <c r="H15" i="343" s="1"/>
  <c r="N7" i="343"/>
  <c r="K7" i="343"/>
  <c r="J7" i="343"/>
  <c r="I7" i="343"/>
  <c r="G7" i="343"/>
  <c r="F7" i="343"/>
  <c r="E7" i="343"/>
  <c r="D7" i="343"/>
  <c r="C7" i="343"/>
  <c r="K236" i="343" l="1"/>
  <c r="M18" i="343"/>
  <c r="M41" i="343"/>
  <c r="M62" i="343"/>
  <c r="M97" i="343"/>
  <c r="O89" i="343"/>
  <c r="L135" i="343"/>
  <c r="M126" i="343"/>
  <c r="M182" i="343"/>
  <c r="E315" i="343"/>
  <c r="H306" i="343"/>
  <c r="F387" i="343"/>
  <c r="F411" i="343" s="1"/>
  <c r="F14" i="343"/>
  <c r="F29" i="343" s="1"/>
  <c r="H51" i="343"/>
  <c r="M43" i="343"/>
  <c r="H74" i="343"/>
  <c r="M64" i="343"/>
  <c r="H391" i="343"/>
  <c r="M69" i="343"/>
  <c r="M395" i="343"/>
  <c r="O94" i="343"/>
  <c r="O395" i="343" s="1"/>
  <c r="H108" i="343"/>
  <c r="M101" i="343"/>
  <c r="M184" i="343"/>
  <c r="H191" i="343"/>
  <c r="M223" i="343"/>
  <c r="O216" i="343"/>
  <c r="O223" i="343" s="1"/>
  <c r="P222" i="343" s="1"/>
  <c r="E392" i="343"/>
  <c r="M8" i="343"/>
  <c r="J412" i="343"/>
  <c r="J419" i="343" s="1"/>
  <c r="J429" i="343" s="1"/>
  <c r="O20" i="343"/>
  <c r="O28" i="343" s="1"/>
  <c r="M28" i="343"/>
  <c r="H31" i="343"/>
  <c r="L74" i="343"/>
  <c r="H75" i="343"/>
  <c r="C96" i="343"/>
  <c r="H88" i="343"/>
  <c r="M256" i="343"/>
  <c r="O249" i="343"/>
  <c r="O256" i="343" s="1"/>
  <c r="P255" i="343" s="1"/>
  <c r="I387" i="343"/>
  <c r="I411" i="343" s="1"/>
  <c r="L7" i="343"/>
  <c r="I14" i="343"/>
  <c r="I29" i="343" s="1"/>
  <c r="N387" i="343"/>
  <c r="N411" i="343" s="1"/>
  <c r="N14" i="343"/>
  <c r="N29" i="343" s="1"/>
  <c r="N236" i="343" s="1"/>
  <c r="H393" i="343"/>
  <c r="M12" i="343"/>
  <c r="F412" i="343"/>
  <c r="F419" i="343" s="1"/>
  <c r="D413" i="343"/>
  <c r="D420" i="343" s="1"/>
  <c r="D430" i="343" s="1"/>
  <c r="H23" i="343"/>
  <c r="H26" i="343" s="1"/>
  <c r="L99" i="343"/>
  <c r="O32" i="343"/>
  <c r="O38" i="343" s="1"/>
  <c r="P37" i="343" s="1"/>
  <c r="F99" i="343"/>
  <c r="K99" i="343"/>
  <c r="H38" i="343"/>
  <c r="H39" i="343"/>
  <c r="M42" i="343"/>
  <c r="H390" i="343"/>
  <c r="M45" i="343"/>
  <c r="H53" i="343"/>
  <c r="O55" i="343"/>
  <c r="H400" i="343"/>
  <c r="M59" i="343"/>
  <c r="H61" i="343"/>
  <c r="H62" i="343"/>
  <c r="M65" i="343"/>
  <c r="M68" i="343"/>
  <c r="O68" i="343" s="1"/>
  <c r="J235" i="343"/>
  <c r="K235" i="343"/>
  <c r="L146" i="343"/>
  <c r="H179" i="343"/>
  <c r="L213" i="343"/>
  <c r="L413" i="343" s="1"/>
  <c r="L420" i="343" s="1"/>
  <c r="L430" i="343" s="1"/>
  <c r="M206" i="343"/>
  <c r="L244" i="343"/>
  <c r="M242" i="343"/>
  <c r="O242" i="343" s="1"/>
  <c r="H248" i="343"/>
  <c r="L255" i="343"/>
  <c r="K281" i="343"/>
  <c r="N429" i="343"/>
  <c r="O66" i="343"/>
  <c r="O76" i="343" s="1"/>
  <c r="M76" i="343"/>
  <c r="D235" i="343"/>
  <c r="M163" i="343"/>
  <c r="H169" i="343"/>
  <c r="H187" i="343"/>
  <c r="H189" i="343" s="1"/>
  <c r="E190" i="343"/>
  <c r="E412" i="343" s="1"/>
  <c r="E419" i="343" s="1"/>
  <c r="E429" i="343" s="1"/>
  <c r="O233" i="343"/>
  <c r="P232" i="343" s="1"/>
  <c r="O239" i="343"/>
  <c r="C99" i="343"/>
  <c r="C236" i="343" s="1"/>
  <c r="C366" i="343" s="1"/>
  <c r="C386" i="343" s="1"/>
  <c r="H46" i="343"/>
  <c r="M46" i="343" s="1"/>
  <c r="O46" i="343" s="1"/>
  <c r="L75" i="343"/>
  <c r="L412" i="343" s="1"/>
  <c r="L419" i="343" s="1"/>
  <c r="H76" i="343"/>
  <c r="H85" i="343"/>
  <c r="M79" i="343"/>
  <c r="H403" i="343"/>
  <c r="M360" i="343"/>
  <c r="E387" i="343"/>
  <c r="E411" i="343" s="1"/>
  <c r="E14" i="343"/>
  <c r="J387" i="343"/>
  <c r="J411" i="343" s="1"/>
  <c r="J14" i="343"/>
  <c r="J29" i="343" s="1"/>
  <c r="L393" i="343"/>
  <c r="E413" i="343"/>
  <c r="E420" i="343" s="1"/>
  <c r="I413" i="343"/>
  <c r="I420" i="343" s="1"/>
  <c r="M16" i="343"/>
  <c r="E26" i="343"/>
  <c r="M19" i="343"/>
  <c r="M22" i="343"/>
  <c r="O22" i="343" s="1"/>
  <c r="O389" i="343" s="1"/>
  <c r="D99" i="343"/>
  <c r="D236" i="343" s="1"/>
  <c r="D366" i="343" s="1"/>
  <c r="D386" i="343" s="1"/>
  <c r="L390" i="343"/>
  <c r="E49" i="343"/>
  <c r="E99" i="343" s="1"/>
  <c r="H50" i="343"/>
  <c r="O54" i="343"/>
  <c r="O61" i="343" s="1"/>
  <c r="H78" i="343"/>
  <c r="M80" i="343"/>
  <c r="L97" i="343"/>
  <c r="M98" i="343"/>
  <c r="O90" i="343"/>
  <c r="O98" i="343" s="1"/>
  <c r="O102" i="343"/>
  <c r="O109" i="343" s="1"/>
  <c r="P108" i="343" s="1"/>
  <c r="M109" i="343"/>
  <c r="O127" i="343"/>
  <c r="O136" i="343" s="1"/>
  <c r="M136" i="343"/>
  <c r="H193" i="343"/>
  <c r="C200" i="343"/>
  <c r="M224" i="343"/>
  <c r="O217" i="343"/>
  <c r="O224" i="343" s="1"/>
  <c r="M233" i="343"/>
  <c r="O230" i="343"/>
  <c r="O240" i="343"/>
  <c r="O246" i="343" s="1"/>
  <c r="M246" i="343"/>
  <c r="E271" i="343"/>
  <c r="H401" i="343"/>
  <c r="M336" i="343"/>
  <c r="I235" i="343"/>
  <c r="H178" i="343"/>
  <c r="M171" i="343"/>
  <c r="H201" i="343"/>
  <c r="M194" i="343"/>
  <c r="C281" i="343"/>
  <c r="H273" i="343"/>
  <c r="L316" i="343"/>
  <c r="J340" i="343"/>
  <c r="J365" i="343" s="1"/>
  <c r="L333" i="343"/>
  <c r="L340" i="343" s="1"/>
  <c r="C387" i="343"/>
  <c r="C411" i="343" s="1"/>
  <c r="G387" i="343"/>
  <c r="G411" i="343" s="1"/>
  <c r="K387" i="343"/>
  <c r="K411" i="343" s="1"/>
  <c r="H389" i="343"/>
  <c r="C15" i="343"/>
  <c r="C412" i="343" s="1"/>
  <c r="C419" i="343" s="1"/>
  <c r="G412" i="343"/>
  <c r="G419" i="343" s="1"/>
  <c r="K412" i="343"/>
  <c r="K419" i="343" s="1"/>
  <c r="K429" i="343" s="1"/>
  <c r="F413" i="343"/>
  <c r="F420" i="343" s="1"/>
  <c r="J413" i="343"/>
  <c r="J420" i="343" s="1"/>
  <c r="J430" i="343" s="1"/>
  <c r="N413" i="343"/>
  <c r="N420" i="343" s="1"/>
  <c r="L392" i="343"/>
  <c r="I50" i="343"/>
  <c r="I412" i="343" s="1"/>
  <c r="I419" i="343" s="1"/>
  <c r="I429" i="343" s="1"/>
  <c r="H109" i="343"/>
  <c r="H112" i="343"/>
  <c r="L112" i="343"/>
  <c r="L121" i="343" s="1"/>
  <c r="L235" i="343" s="1"/>
  <c r="C134" i="343"/>
  <c r="H125" i="343"/>
  <c r="O140" i="343"/>
  <c r="O147" i="343" s="1"/>
  <c r="M142" i="343"/>
  <c r="O142" i="343" s="1"/>
  <c r="O146" i="343" s="1"/>
  <c r="P145" i="343" s="1"/>
  <c r="H161" i="343"/>
  <c r="L178" i="343"/>
  <c r="H176" i="343"/>
  <c r="M176" i="343" s="1"/>
  <c r="O176" i="343" s="1"/>
  <c r="H180" i="343"/>
  <c r="H413" i="343" s="1"/>
  <c r="H420" i="343" s="1"/>
  <c r="H430" i="343" s="1"/>
  <c r="M183" i="343"/>
  <c r="M186" i="343"/>
  <c r="O186" i="343" s="1"/>
  <c r="M205" i="343"/>
  <c r="D365" i="343"/>
  <c r="M405" i="343"/>
  <c r="O300" i="343"/>
  <c r="O405" i="343" s="1"/>
  <c r="M307" i="343"/>
  <c r="E235" i="343"/>
  <c r="O173" i="343"/>
  <c r="O180" i="343" s="1"/>
  <c r="M180" i="343"/>
  <c r="H290" i="343"/>
  <c r="M286" i="343"/>
  <c r="O301" i="343"/>
  <c r="O308" i="343"/>
  <c r="O317" i="343" s="1"/>
  <c r="M317" i="343"/>
  <c r="I330" i="343"/>
  <c r="L326" i="343"/>
  <c r="L330" i="343" s="1"/>
  <c r="M333" i="343"/>
  <c r="M353" i="343"/>
  <c r="H363" i="343"/>
  <c r="D387" i="343"/>
  <c r="D411" i="343" s="1"/>
  <c r="H7" i="343"/>
  <c r="L389" i="343"/>
  <c r="E393" i="343"/>
  <c r="D412" i="343"/>
  <c r="D419" i="343" s="1"/>
  <c r="D429" i="343" s="1"/>
  <c r="C413" i="343"/>
  <c r="C420" i="343" s="1"/>
  <c r="G413" i="343"/>
  <c r="G420" i="343" s="1"/>
  <c r="K413" i="343"/>
  <c r="K420" i="343" s="1"/>
  <c r="L109" i="343"/>
  <c r="M110" i="343"/>
  <c r="H122" i="343"/>
  <c r="M113" i="343"/>
  <c r="M116" i="343"/>
  <c r="O116" i="343" s="1"/>
  <c r="M118" i="343"/>
  <c r="O118" i="343" s="1"/>
  <c r="H123" i="343"/>
  <c r="M397" i="343"/>
  <c r="H168" i="343"/>
  <c r="M172" i="343"/>
  <c r="M175" i="343"/>
  <c r="O175" i="343" s="1"/>
  <c r="E189" i="343"/>
  <c r="M195" i="343"/>
  <c r="M199" i="343"/>
  <c r="O199" i="343" s="1"/>
  <c r="C211" i="343"/>
  <c r="C235" i="343" s="1"/>
  <c r="H204" i="343"/>
  <c r="M226" i="343"/>
  <c r="H232" i="343"/>
  <c r="O228" i="343"/>
  <c r="O234" i="343" s="1"/>
  <c r="L245" i="343"/>
  <c r="I271" i="343"/>
  <c r="L256" i="343"/>
  <c r="O275" i="343"/>
  <c r="O283" i="343" s="1"/>
  <c r="M283" i="343"/>
  <c r="H282" i="343"/>
  <c r="H283" i="343"/>
  <c r="E365" i="343"/>
  <c r="H331" i="343"/>
  <c r="M327" i="343"/>
  <c r="H340" i="343"/>
  <c r="H138" i="343"/>
  <c r="H149" i="343"/>
  <c r="H426" i="343"/>
  <c r="H215" i="343"/>
  <c r="H238" i="343"/>
  <c r="F271" i="343"/>
  <c r="J271" i="343"/>
  <c r="H259" i="343"/>
  <c r="C289" i="343"/>
  <c r="C365" i="343" s="1"/>
  <c r="M294" i="343"/>
  <c r="H304" i="343"/>
  <c r="H326" i="343"/>
  <c r="C330" i="343"/>
  <c r="M343" i="343"/>
  <c r="H383" i="343"/>
  <c r="M369" i="343"/>
  <c r="H385" i="343"/>
  <c r="H414" i="343" s="1"/>
  <c r="H421" i="343" s="1"/>
  <c r="M371" i="343"/>
  <c r="H394" i="343"/>
  <c r="M374" i="343"/>
  <c r="M376" i="343"/>
  <c r="O376" i="343" s="1"/>
  <c r="M378" i="343"/>
  <c r="O378" i="343" s="1"/>
  <c r="H384" i="343"/>
  <c r="M381" i="343"/>
  <c r="O381" i="343" s="1"/>
  <c r="F425" i="343"/>
  <c r="L426" i="343"/>
  <c r="G271" i="343"/>
  <c r="G366" i="343" s="1"/>
  <c r="G386" i="343" s="1"/>
  <c r="K271" i="343"/>
  <c r="M274" i="343"/>
  <c r="M277" i="343"/>
  <c r="O277" i="343" s="1"/>
  <c r="M285" i="343"/>
  <c r="H289" i="343"/>
  <c r="H406" i="343"/>
  <c r="M288" i="343"/>
  <c r="F365" i="343"/>
  <c r="N365" i="343"/>
  <c r="L292" i="343"/>
  <c r="L302" i="343" s="1"/>
  <c r="M303" i="343"/>
  <c r="E303" i="343"/>
  <c r="H298" i="343"/>
  <c r="M298" i="343" s="1"/>
  <c r="O298" i="343" s="1"/>
  <c r="O303" i="343" s="1"/>
  <c r="E302" i="343"/>
  <c r="H341" i="343"/>
  <c r="M334" i="343"/>
  <c r="H404" i="343"/>
  <c r="M337" i="343"/>
  <c r="M339" i="343"/>
  <c r="O339" i="343" s="1"/>
  <c r="M354" i="343"/>
  <c r="H364" i="343"/>
  <c r="H399" i="343"/>
  <c r="M359" i="343"/>
  <c r="C426" i="343"/>
  <c r="G426" i="343"/>
  <c r="L285" i="343"/>
  <c r="L289" i="343" s="1"/>
  <c r="H292" i="343"/>
  <c r="H407" i="343"/>
  <c r="H319" i="343"/>
  <c r="H352" i="343"/>
  <c r="M358" i="343"/>
  <c r="H398" i="343"/>
  <c r="H368" i="343"/>
  <c r="M370" i="343"/>
  <c r="M373" i="343"/>
  <c r="O373" i="343" s="1"/>
  <c r="M375" i="343"/>
  <c r="O375" i="343" s="1"/>
  <c r="M377" i="343"/>
  <c r="O377" i="343" s="1"/>
  <c r="H409" i="343"/>
  <c r="H427" i="343" s="1"/>
  <c r="M380" i="343"/>
  <c r="N431" i="343"/>
  <c r="N425" i="343"/>
  <c r="N424" i="343" s="1"/>
  <c r="F426" i="343"/>
  <c r="D424" i="343"/>
  <c r="L407" i="343"/>
  <c r="I362" i="343"/>
  <c r="I365" i="343" s="1"/>
  <c r="L352" i="343"/>
  <c r="L362" i="343" s="1"/>
  <c r="E425" i="343"/>
  <c r="E424" i="343" s="1"/>
  <c r="N426" i="343"/>
  <c r="K426" i="343"/>
  <c r="J431" i="343"/>
  <c r="C425" i="343"/>
  <c r="C424" i="343" s="1"/>
  <c r="G425" i="343"/>
  <c r="K425" i="343"/>
  <c r="K424" i="343" s="1"/>
  <c r="E426" i="343"/>
  <c r="I426" i="343"/>
  <c r="I424" i="343" s="1"/>
  <c r="M409" i="343" l="1"/>
  <c r="M427" i="343" s="1"/>
  <c r="O380" i="343"/>
  <c r="O409" i="343" s="1"/>
  <c r="O427" i="343" s="1"/>
  <c r="H302" i="343"/>
  <c r="M292" i="343"/>
  <c r="M406" i="343"/>
  <c r="O288" i="343"/>
  <c r="O406" i="343" s="1"/>
  <c r="M349" i="343"/>
  <c r="O343" i="343"/>
  <c r="O349" i="343" s="1"/>
  <c r="D418" i="343"/>
  <c r="D416" i="343"/>
  <c r="D422" i="343" s="1"/>
  <c r="K416" i="343"/>
  <c r="K422" i="343" s="1"/>
  <c r="K418" i="343"/>
  <c r="E418" i="343"/>
  <c r="E416" i="343"/>
  <c r="E422" i="343" s="1"/>
  <c r="M53" i="343"/>
  <c r="H60" i="343"/>
  <c r="O42" i="343"/>
  <c r="M50" i="343"/>
  <c r="I236" i="343"/>
  <c r="I366" i="343" s="1"/>
  <c r="I386" i="343" s="1"/>
  <c r="M108" i="343"/>
  <c r="O101" i="343"/>
  <c r="O108" i="343" s="1"/>
  <c r="O69" i="343"/>
  <c r="O391" i="343" s="1"/>
  <c r="M391" i="343"/>
  <c r="M51" i="343"/>
  <c r="O43" i="343"/>
  <c r="O51" i="343" s="1"/>
  <c r="F416" i="343"/>
  <c r="F422" i="343" s="1"/>
  <c r="F418" i="343"/>
  <c r="O182" i="343"/>
  <c r="O189" i="343" s="1"/>
  <c r="K366" i="343"/>
  <c r="K386" i="343" s="1"/>
  <c r="O370" i="343"/>
  <c r="O384" i="343" s="1"/>
  <c r="M384" i="343"/>
  <c r="M352" i="343"/>
  <c r="H362" i="343"/>
  <c r="L365" i="343"/>
  <c r="M404" i="343"/>
  <c r="O337" i="343"/>
  <c r="O404" i="343" s="1"/>
  <c r="O274" i="343"/>
  <c r="O282" i="343" s="1"/>
  <c r="P281" i="343" s="1"/>
  <c r="M282" i="343"/>
  <c r="F424" i="343"/>
  <c r="H431" i="343"/>
  <c r="M304" i="343"/>
  <c r="O294" i="343"/>
  <c r="O304" i="343" s="1"/>
  <c r="H157" i="343"/>
  <c r="M149" i="343"/>
  <c r="M204" i="343"/>
  <c r="H211" i="343"/>
  <c r="O113" i="343"/>
  <c r="O122" i="343" s="1"/>
  <c r="P121" i="343" s="1"/>
  <c r="M122" i="343"/>
  <c r="K430" i="343"/>
  <c r="M407" i="343"/>
  <c r="M212" i="343"/>
  <c r="O205" i="343"/>
  <c r="O212" i="343" s="1"/>
  <c r="M112" i="343"/>
  <c r="H121" i="343"/>
  <c r="N430" i="343"/>
  <c r="G429" i="343"/>
  <c r="G418" i="343"/>
  <c r="G416" i="343"/>
  <c r="G422" i="343" s="1"/>
  <c r="M401" i="343"/>
  <c r="O336" i="343"/>
  <c r="O401" i="343" s="1"/>
  <c r="O80" i="343"/>
  <c r="O86" i="343" s="1"/>
  <c r="M86" i="343"/>
  <c r="O19" i="343"/>
  <c r="E430" i="343"/>
  <c r="J236" i="343"/>
  <c r="J366" i="343" s="1"/>
  <c r="J386" i="343" s="1"/>
  <c r="M403" i="343"/>
  <c r="O360" i="343"/>
  <c r="O403" i="343" s="1"/>
  <c r="L271" i="343"/>
  <c r="M400" i="343"/>
  <c r="O59" i="343"/>
  <c r="O400" i="343" s="1"/>
  <c r="M389" i="343"/>
  <c r="L387" i="343"/>
  <c r="L411" i="343" s="1"/>
  <c r="L14" i="343"/>
  <c r="L29" i="343" s="1"/>
  <c r="L236" i="343" s="1"/>
  <c r="O41" i="343"/>
  <c r="M49" i="343"/>
  <c r="O18" i="343"/>
  <c r="M399" i="343"/>
  <c r="O359" i="343"/>
  <c r="O399" i="343" s="1"/>
  <c r="M331" i="343"/>
  <c r="O327" i="343"/>
  <c r="O331" i="343" s="1"/>
  <c r="O407" i="343"/>
  <c r="O194" i="343"/>
  <c r="O201" i="343" s="1"/>
  <c r="M201" i="343"/>
  <c r="I430" i="343"/>
  <c r="M169" i="343"/>
  <c r="O163" i="343"/>
  <c r="O169" i="343" s="1"/>
  <c r="P167" i="343" s="1"/>
  <c r="H323" i="343"/>
  <c r="M319" i="343"/>
  <c r="P302" i="343"/>
  <c r="M394" i="343"/>
  <c r="O374" i="343"/>
  <c r="O394" i="343" s="1"/>
  <c r="O369" i="343"/>
  <c r="M383" i="343"/>
  <c r="M326" i="343"/>
  <c r="H330" i="343"/>
  <c r="H244" i="343"/>
  <c r="H271" i="343" s="1"/>
  <c r="M238" i="343"/>
  <c r="H145" i="343"/>
  <c r="M138" i="343"/>
  <c r="G430" i="343"/>
  <c r="L425" i="343"/>
  <c r="L424" i="343" s="1"/>
  <c r="M363" i="343"/>
  <c r="O353" i="343"/>
  <c r="O363" i="343" s="1"/>
  <c r="M290" i="343"/>
  <c r="O286" i="343"/>
  <c r="O290" i="343" s="1"/>
  <c r="M146" i="343"/>
  <c r="M125" i="343"/>
  <c r="H134" i="343"/>
  <c r="C429" i="343"/>
  <c r="C416" i="343"/>
  <c r="C422" i="343" s="1"/>
  <c r="C418" i="343"/>
  <c r="H281" i="343"/>
  <c r="M273" i="343"/>
  <c r="M178" i="343"/>
  <c r="O171" i="343"/>
  <c r="O178" i="343" s="1"/>
  <c r="M78" i="343"/>
  <c r="H84" i="343"/>
  <c r="J416" i="343"/>
  <c r="J422" i="343" s="1"/>
  <c r="J418" i="343"/>
  <c r="O245" i="343"/>
  <c r="P244" i="343" s="1"/>
  <c r="M187" i="343"/>
  <c r="O187" i="343" s="1"/>
  <c r="H190" i="343"/>
  <c r="O206" i="343"/>
  <c r="O213" i="343" s="1"/>
  <c r="M213" i="343"/>
  <c r="O65" i="343"/>
  <c r="O75" i="343" s="1"/>
  <c r="P74" i="343" s="1"/>
  <c r="M75" i="343"/>
  <c r="M390" i="343"/>
  <c r="O45" i="343"/>
  <c r="O390" i="343" s="1"/>
  <c r="F429" i="343"/>
  <c r="N366" i="343"/>
  <c r="N386" i="343" s="1"/>
  <c r="I418" i="343"/>
  <c r="I416" i="343"/>
  <c r="I422" i="343" s="1"/>
  <c r="M88" i="343"/>
  <c r="H96" i="343"/>
  <c r="M31" i="343"/>
  <c r="H37" i="343"/>
  <c r="H99" i="343" s="1"/>
  <c r="O8" i="343"/>
  <c r="M15" i="343"/>
  <c r="M74" i="343"/>
  <c r="O64" i="343"/>
  <c r="O74" i="343" s="1"/>
  <c r="M306" i="343"/>
  <c r="H315" i="343"/>
  <c r="H365" i="343" s="1"/>
  <c r="M135" i="343"/>
  <c r="O126" i="343"/>
  <c r="O135" i="343" s="1"/>
  <c r="P134" i="343" s="1"/>
  <c r="O97" i="343"/>
  <c r="P96" i="343" s="1"/>
  <c r="H49" i="343"/>
  <c r="M398" i="343"/>
  <c r="M426" i="343" s="1"/>
  <c r="O358" i="343"/>
  <c r="O398" i="343" s="1"/>
  <c r="O426" i="343" s="1"/>
  <c r="M385" i="343"/>
  <c r="M414" i="343" s="1"/>
  <c r="M421" i="343" s="1"/>
  <c r="O371" i="343"/>
  <c r="O385" i="343" s="1"/>
  <c r="O414" i="343" s="1"/>
  <c r="O421" i="343" s="1"/>
  <c r="O431" i="343" s="1"/>
  <c r="M232" i="343"/>
  <c r="O226" i="343"/>
  <c r="O232" i="343" s="1"/>
  <c r="O195" i="343"/>
  <c r="O202" i="343" s="1"/>
  <c r="M202" i="343"/>
  <c r="M316" i="343"/>
  <c r="O307" i="343"/>
  <c r="O316" i="343" s="1"/>
  <c r="P315" i="343" s="1"/>
  <c r="M193" i="343"/>
  <c r="H200" i="343"/>
  <c r="M368" i="343"/>
  <c r="H382" i="343"/>
  <c r="G424" i="343"/>
  <c r="M364" i="343"/>
  <c r="O354" i="343"/>
  <c r="O364" i="343" s="1"/>
  <c r="M341" i="343"/>
  <c r="O334" i="343"/>
  <c r="M289" i="343"/>
  <c r="O285" i="343"/>
  <c r="O289" i="343" s="1"/>
  <c r="H303" i="343"/>
  <c r="H268" i="343"/>
  <c r="M259" i="343"/>
  <c r="H222" i="343"/>
  <c r="M215" i="343"/>
  <c r="O172" i="343"/>
  <c r="O179" i="343" s="1"/>
  <c r="P178" i="343" s="1"/>
  <c r="M179" i="343"/>
  <c r="C430" i="343"/>
  <c r="H387" i="343"/>
  <c r="H14" i="343"/>
  <c r="H29" i="343" s="1"/>
  <c r="M7" i="343"/>
  <c r="O333" i="343"/>
  <c r="O340" i="343" s="1"/>
  <c r="M340" i="343"/>
  <c r="O183" i="343"/>
  <c r="O190" i="343" s="1"/>
  <c r="M190" i="343"/>
  <c r="M161" i="343"/>
  <c r="H167" i="343"/>
  <c r="H235" i="343" s="1"/>
  <c r="F430" i="343"/>
  <c r="E29" i="343"/>
  <c r="E236" i="343" s="1"/>
  <c r="E366" i="343" s="1"/>
  <c r="E386" i="343" s="1"/>
  <c r="O79" i="343"/>
  <c r="O85" i="343" s="1"/>
  <c r="P84" i="343" s="1"/>
  <c r="M85" i="343"/>
  <c r="M245" i="343"/>
  <c r="M248" i="343"/>
  <c r="H255" i="343"/>
  <c r="O62" i="343"/>
  <c r="P60" i="343" s="1"/>
  <c r="H392" i="343"/>
  <c r="H425" i="343" s="1"/>
  <c r="H424" i="343" s="1"/>
  <c r="M23" i="343"/>
  <c r="M26" i="343" s="1"/>
  <c r="H27" i="343"/>
  <c r="M393" i="343"/>
  <c r="O12" i="343"/>
  <c r="O393" i="343" s="1"/>
  <c r="N416" i="343"/>
  <c r="N422" i="343" s="1"/>
  <c r="N418" i="343"/>
  <c r="O184" i="343"/>
  <c r="O191" i="343" s="1"/>
  <c r="M191" i="343"/>
  <c r="M413" i="343" s="1"/>
  <c r="M420" i="343" s="1"/>
  <c r="M430" i="343" s="1"/>
  <c r="F236" i="343"/>
  <c r="F366" i="343" s="1"/>
  <c r="F386" i="343" s="1"/>
  <c r="O425" i="343" l="1"/>
  <c r="O424" i="343" s="1"/>
  <c r="M167" i="343"/>
  <c r="O161" i="343"/>
  <c r="O167" i="343" s="1"/>
  <c r="O368" i="343"/>
  <c r="O382" i="343" s="1"/>
  <c r="M382" i="343"/>
  <c r="O125" i="343"/>
  <c r="O134" i="343" s="1"/>
  <c r="M134" i="343"/>
  <c r="M145" i="343"/>
  <c r="O138" i="343"/>
  <c r="O145" i="343" s="1"/>
  <c r="M157" i="343"/>
  <c r="O149" i="343"/>
  <c r="O157" i="343" s="1"/>
  <c r="M362" i="343"/>
  <c r="O352" i="343"/>
  <c r="O362" i="343" s="1"/>
  <c r="O235" i="343"/>
  <c r="O50" i="343"/>
  <c r="P49" i="343" s="1"/>
  <c r="H412" i="343"/>
  <c r="H419" i="343" s="1"/>
  <c r="H429" i="343" s="1"/>
  <c r="M387" i="343"/>
  <c r="M14" i="343"/>
  <c r="M29" i="343" s="1"/>
  <c r="O7" i="343"/>
  <c r="O259" i="343"/>
  <c r="O268" i="343" s="1"/>
  <c r="M268" i="343"/>
  <c r="M330" i="343"/>
  <c r="O326" i="343"/>
  <c r="O330" i="343" s="1"/>
  <c r="L366" i="343"/>
  <c r="L386" i="343" s="1"/>
  <c r="M189" i="343"/>
  <c r="O292" i="343"/>
  <c r="O302" i="343" s="1"/>
  <c r="O365" i="343" s="1"/>
  <c r="M302" i="343"/>
  <c r="M365" i="343" s="1"/>
  <c r="L429" i="343"/>
  <c r="M37" i="343"/>
  <c r="O31" i="343"/>
  <c r="O37" i="343" s="1"/>
  <c r="P362" i="343"/>
  <c r="O319" i="343"/>
  <c r="O323" i="343" s="1"/>
  <c r="M323" i="343"/>
  <c r="M392" i="343"/>
  <c r="O23" i="343"/>
  <c r="O392" i="343" s="1"/>
  <c r="O248" i="343"/>
  <c r="O255" i="343" s="1"/>
  <c r="M255" i="343"/>
  <c r="P189" i="343"/>
  <c r="H236" i="343"/>
  <c r="H366" i="343" s="1"/>
  <c r="H386" i="343" s="1"/>
  <c r="O341" i="343"/>
  <c r="O413" i="343" s="1"/>
  <c r="O420" i="343" s="1"/>
  <c r="O430" i="343" s="1"/>
  <c r="O193" i="343"/>
  <c r="O200" i="343" s="1"/>
  <c r="M200" i="343"/>
  <c r="M431" i="343"/>
  <c r="O306" i="343"/>
  <c r="O315" i="343" s="1"/>
  <c r="M315" i="343"/>
  <c r="O15" i="343"/>
  <c r="O88" i="343"/>
  <c r="O96" i="343" s="1"/>
  <c r="M96" i="343"/>
  <c r="M281" i="343"/>
  <c r="O273" i="343"/>
  <c r="O281" i="343" s="1"/>
  <c r="M244" i="343"/>
  <c r="M271" i="343" s="1"/>
  <c r="O238" i="343"/>
  <c r="O244" i="343" s="1"/>
  <c r="P200" i="343"/>
  <c r="L418" i="343"/>
  <c r="L416" i="343"/>
  <c r="L422" i="343" s="1"/>
  <c r="O112" i="343"/>
  <c r="O121" i="343" s="1"/>
  <c r="M121" i="343"/>
  <c r="M235" i="343" s="1"/>
  <c r="M60" i="343"/>
  <c r="O53" i="343"/>
  <c r="O60" i="343" s="1"/>
  <c r="H411" i="343"/>
  <c r="O215" i="343"/>
  <c r="O222" i="343" s="1"/>
  <c r="M222" i="343"/>
  <c r="O78" i="343"/>
  <c r="O84" i="343" s="1"/>
  <c r="M84" i="343"/>
  <c r="O383" i="343"/>
  <c r="P382" i="343" s="1"/>
  <c r="O49" i="343"/>
  <c r="M425" i="343"/>
  <c r="M424" i="343" s="1"/>
  <c r="M27" i="343"/>
  <c r="M412" i="343" s="1"/>
  <c r="M419" i="343" s="1"/>
  <c r="M429" i="343" s="1"/>
  <c r="P211" i="343"/>
  <c r="O204" i="343"/>
  <c r="O211" i="343" s="1"/>
  <c r="M211" i="343"/>
  <c r="M236" i="343" l="1"/>
  <c r="M366" i="343" s="1"/>
  <c r="M386" i="343" s="1"/>
  <c r="P14" i="343"/>
  <c r="O99" i="343"/>
  <c r="M411" i="343"/>
  <c r="O27" i="343"/>
  <c r="P26" i="343" s="1"/>
  <c r="M99" i="343"/>
  <c r="O26" i="343"/>
  <c r="H418" i="343"/>
  <c r="H416" i="343"/>
  <c r="H422" i="343" s="1"/>
  <c r="O271" i="343"/>
  <c r="O387" i="343"/>
  <c r="O411" i="343" s="1"/>
  <c r="O14" i="343"/>
  <c r="O29" i="343" s="1"/>
  <c r="O236" i="343" s="1"/>
  <c r="O366" i="343" s="1"/>
  <c r="O386" i="343" s="1"/>
  <c r="O412" i="343" l="1"/>
  <c r="M418" i="343"/>
  <c r="M416" i="343"/>
  <c r="M422" i="343" s="1"/>
  <c r="O416" i="343"/>
  <c r="O418" i="343"/>
  <c r="O419" i="343" l="1"/>
  <c r="O429" i="343" s="1"/>
  <c r="P411" i="343"/>
  <c r="O422" i="343" l="1"/>
  <c r="AE62" i="239" l="1"/>
  <c r="AI62" i="239"/>
  <c r="E62" i="261"/>
  <c r="G253" i="318"/>
  <c r="D253" i="318"/>
  <c r="H235" i="318"/>
  <c r="D235" i="318"/>
  <c r="G74" i="317"/>
  <c r="H74" i="317" s="1"/>
  <c r="L74" i="317"/>
  <c r="H242" i="318"/>
  <c r="H243" i="318"/>
  <c r="D243" i="318"/>
  <c r="H241" i="318"/>
  <c r="H240" i="318"/>
  <c r="H252" i="318"/>
  <c r="G252" i="318"/>
  <c r="D252" i="318"/>
  <c r="P74" i="317" l="1"/>
  <c r="N150" i="317" l="1"/>
  <c r="J45" i="261" l="1"/>
  <c r="I45" i="261"/>
  <c r="H45" i="261"/>
  <c r="E45" i="261"/>
  <c r="AG45" i="239"/>
  <c r="AF45" i="239"/>
  <c r="AE45" i="239"/>
  <c r="AC45" i="239"/>
  <c r="AB45" i="239"/>
  <c r="AA45" i="239"/>
  <c r="Y45" i="239"/>
  <c r="AK45" i="239" s="1"/>
  <c r="X45" i="239"/>
  <c r="W45" i="239"/>
  <c r="V45" i="239"/>
  <c r="R45" i="239"/>
  <c r="AD45" i="239" s="1"/>
  <c r="M45" i="239"/>
  <c r="L45" i="239"/>
  <c r="K45" i="239"/>
  <c r="N45" i="239" s="1"/>
  <c r="J45" i="239"/>
  <c r="F45" i="239"/>
  <c r="G35" i="239"/>
  <c r="H22" i="239"/>
  <c r="G22" i="239"/>
  <c r="K45" i="261" l="1"/>
  <c r="AJ45" i="239"/>
  <c r="AH45" i="239"/>
  <c r="Z45" i="239"/>
  <c r="AL45" i="239" s="1"/>
  <c r="AI45" i="239"/>
  <c r="G17" i="239" l="1"/>
  <c r="E66" i="317"/>
  <c r="AG62" i="239" l="1"/>
  <c r="AF62" i="239"/>
  <c r="AH62" i="239"/>
  <c r="AC62" i="239"/>
  <c r="AB62" i="239"/>
  <c r="AA62" i="239"/>
  <c r="Y62" i="239"/>
  <c r="AK62" i="239" s="1"/>
  <c r="X62" i="239"/>
  <c r="AJ62" i="239" s="1"/>
  <c r="W62" i="239"/>
  <c r="V62" i="239"/>
  <c r="R62" i="239"/>
  <c r="M62" i="239"/>
  <c r="L62" i="239"/>
  <c r="K62" i="239"/>
  <c r="N62" i="239" s="1"/>
  <c r="J62" i="239"/>
  <c r="F62" i="239"/>
  <c r="F64" i="261"/>
  <c r="I64" i="261"/>
  <c r="C64" i="261"/>
  <c r="J62" i="261"/>
  <c r="I62" i="261"/>
  <c r="H62" i="261"/>
  <c r="K62" i="261" s="1"/>
  <c r="C10" i="266" s="1"/>
  <c r="AD62" i="239" l="1"/>
  <c r="AL62" i="239"/>
  <c r="Z62" i="239"/>
  <c r="N141" i="317" l="1"/>
  <c r="L71" i="317"/>
  <c r="H71" i="317"/>
  <c r="L57" i="317"/>
  <c r="H57" i="317"/>
  <c r="L36" i="317"/>
  <c r="H36" i="317"/>
  <c r="L37" i="317"/>
  <c r="H37" i="317"/>
  <c r="P71" i="317" l="1"/>
  <c r="P57" i="317"/>
  <c r="P37" i="317"/>
  <c r="P36" i="317"/>
  <c r="I43" i="317" l="1"/>
  <c r="I41" i="317"/>
  <c r="E41" i="317"/>
  <c r="L21" i="317"/>
  <c r="H21" i="317"/>
  <c r="P21" i="317" l="1"/>
  <c r="G88" i="318"/>
  <c r="D88" i="318"/>
  <c r="L43" i="317"/>
  <c r="H43" i="317"/>
  <c r="G233" i="318"/>
  <c r="D233" i="318"/>
  <c r="N102" i="317"/>
  <c r="N100" i="317"/>
  <c r="N133" i="317"/>
  <c r="N120" i="317"/>
  <c r="N119" i="317"/>
  <c r="N132" i="317"/>
  <c r="N135" i="317"/>
  <c r="N138" i="317"/>
  <c r="N128" i="317"/>
  <c r="N127" i="317"/>
  <c r="N126" i="317"/>
  <c r="N125" i="317"/>
  <c r="N124" i="317"/>
  <c r="N123" i="317"/>
  <c r="N130" i="317"/>
  <c r="N134" i="317"/>
  <c r="N122" i="317"/>
  <c r="N121" i="317"/>
  <c r="N136" i="317"/>
  <c r="N137" i="317"/>
  <c r="N118" i="317"/>
  <c r="N117" i="317"/>
  <c r="N116" i="317"/>
  <c r="I68" i="317"/>
  <c r="E68" i="317"/>
  <c r="L17" i="317"/>
  <c r="H17" i="317"/>
  <c r="P43" i="317" l="1"/>
  <c r="P17" i="317"/>
  <c r="L66" i="317" l="1"/>
  <c r="H66" i="317"/>
  <c r="P66" i="317" l="1"/>
  <c r="G91" i="318"/>
  <c r="L68" i="317"/>
  <c r="H68" i="317"/>
  <c r="P68" i="317" l="1"/>
  <c r="G87" i="318" l="1"/>
  <c r="D87" i="318"/>
  <c r="B23" i="342" l="1"/>
  <c r="G23" i="342" s="1"/>
  <c r="C20" i="342"/>
  <c r="B20" i="342"/>
  <c r="D20" i="342"/>
  <c r="D25" i="342" s="1"/>
  <c r="C13" i="342"/>
  <c r="B13" i="342"/>
  <c r="F34" i="342"/>
  <c r="E34" i="342"/>
  <c r="D34" i="342"/>
  <c r="C34" i="342"/>
  <c r="B34" i="342"/>
  <c r="G33" i="342"/>
  <c r="G34" i="342" s="1"/>
  <c r="F30" i="342"/>
  <c r="E30" i="342"/>
  <c r="D30" i="342"/>
  <c r="C29" i="342"/>
  <c r="C30" i="342" s="1"/>
  <c r="B29" i="342"/>
  <c r="B30" i="342" s="1"/>
  <c r="G28" i="342"/>
  <c r="F25" i="342"/>
  <c r="G24" i="342"/>
  <c r="G22" i="342"/>
  <c r="G21" i="342"/>
  <c r="B19" i="342"/>
  <c r="G19" i="342" s="1"/>
  <c r="J18" i="342"/>
  <c r="B18" i="342"/>
  <c r="G18" i="342" s="1"/>
  <c r="E17" i="342"/>
  <c r="E25" i="342" s="1"/>
  <c r="E35" i="342" s="1"/>
  <c r="C17" i="342"/>
  <c r="G17" i="342" s="1"/>
  <c r="B17" i="342"/>
  <c r="C16" i="342"/>
  <c r="B16" i="342"/>
  <c r="G16" i="342" s="1"/>
  <c r="C15" i="342"/>
  <c r="G15" i="342" s="1"/>
  <c r="B15" i="342"/>
  <c r="G14" i="342"/>
  <c r="C12" i="342"/>
  <c r="B12" i="342"/>
  <c r="G12" i="342" s="1"/>
  <c r="G11" i="342"/>
  <c r="C10" i="342"/>
  <c r="B10" i="342"/>
  <c r="G9" i="342"/>
  <c r="B9" i="342"/>
  <c r="F35" i="342" l="1"/>
  <c r="B25" i="342"/>
  <c r="B35" i="342" s="1"/>
  <c r="G20" i="342"/>
  <c r="D35" i="342"/>
  <c r="C25" i="342"/>
  <c r="C35" i="342" s="1"/>
  <c r="G13" i="342"/>
  <c r="G29" i="342"/>
  <c r="G30" i="342" s="1"/>
  <c r="G10" i="342"/>
  <c r="G25" i="342" l="1"/>
  <c r="G35" i="342" s="1"/>
  <c r="AG58" i="341"/>
  <c r="AF58" i="341"/>
  <c r="AD58" i="341"/>
  <c r="AA58" i="341"/>
  <c r="Z58" i="341"/>
  <c r="U58" i="341"/>
  <c r="R58" i="341"/>
  <c r="O58" i="341"/>
  <c r="N58" i="341"/>
  <c r="L58" i="341"/>
  <c r="K58" i="341"/>
  <c r="I58" i="341"/>
  <c r="H58" i="341"/>
  <c r="AH57" i="341"/>
  <c r="AE57" i="341"/>
  <c r="AB57" i="341"/>
  <c r="Y57" i="341"/>
  <c r="V57" i="341"/>
  <c r="S57" i="341"/>
  <c r="P57" i="341"/>
  <c r="M57" i="341"/>
  <c r="J57" i="341"/>
  <c r="G57" i="341" s="1"/>
  <c r="E57" i="341" s="1"/>
  <c r="AH56" i="341"/>
  <c r="AE56" i="341"/>
  <c r="AB56" i="341"/>
  <c r="Y56" i="341"/>
  <c r="G56" i="341" s="1"/>
  <c r="E56" i="341" s="1"/>
  <c r="AH55" i="341"/>
  <c r="AE55" i="341"/>
  <c r="AB55" i="341"/>
  <c r="Y55" i="341"/>
  <c r="G55" i="341" s="1"/>
  <c r="E55" i="341" s="1"/>
  <c r="AH54" i="341"/>
  <c r="AE54" i="341"/>
  <c r="AB54" i="341"/>
  <c r="Y54" i="341"/>
  <c r="G54" i="341" s="1"/>
  <c r="E54" i="341" s="1"/>
  <c r="AH53" i="341"/>
  <c r="AE53" i="341"/>
  <c r="AB53" i="341"/>
  <c r="Y53" i="341"/>
  <c r="G53" i="341" s="1"/>
  <c r="E53" i="341" s="1"/>
  <c r="AH52" i="341"/>
  <c r="AE52" i="341"/>
  <c r="AB52" i="341"/>
  <c r="Y52" i="341"/>
  <c r="G52" i="341" s="1"/>
  <c r="E52" i="341" s="1"/>
  <c r="AH51" i="341"/>
  <c r="AE51" i="341"/>
  <c r="AB51" i="341"/>
  <c r="Y51" i="341"/>
  <c r="G51" i="341" s="1"/>
  <c r="E51" i="341" s="1"/>
  <c r="AH50" i="341"/>
  <c r="AE50" i="341"/>
  <c r="AB50" i="341"/>
  <c r="Y50" i="341"/>
  <c r="G50" i="341" s="1"/>
  <c r="E50" i="341" s="1"/>
  <c r="AH49" i="341"/>
  <c r="AE49" i="341"/>
  <c r="AB49" i="341"/>
  <c r="Y49" i="341"/>
  <c r="G49" i="341" s="1"/>
  <c r="E49" i="341" s="1"/>
  <c r="AH48" i="341"/>
  <c r="AE48" i="341"/>
  <c r="AB48" i="341"/>
  <c r="X48" i="341"/>
  <c r="Y48" i="341" s="1"/>
  <c r="G48" i="341" s="1"/>
  <c r="F48" i="341"/>
  <c r="E48" i="341" s="1"/>
  <c r="AH47" i="341"/>
  <c r="AE47" i="341"/>
  <c r="AB47" i="341"/>
  <c r="Y47" i="341"/>
  <c r="G47" i="341" s="1"/>
  <c r="E47" i="341" s="1"/>
  <c r="AH46" i="341"/>
  <c r="AE46" i="341"/>
  <c r="AB46" i="341"/>
  <c r="Y46" i="341"/>
  <c r="G46" i="341" s="1"/>
  <c r="E46" i="341" s="1"/>
  <c r="AH45" i="341"/>
  <c r="AE45" i="341"/>
  <c r="AC45" i="341"/>
  <c r="AC58" i="341" s="1"/>
  <c r="AB45" i="341"/>
  <c r="Z45" i="341"/>
  <c r="Y45" i="341"/>
  <c r="W45" i="341"/>
  <c r="V45" i="341"/>
  <c r="S45" i="341"/>
  <c r="P45" i="341"/>
  <c r="M45" i="341"/>
  <c r="J45" i="341"/>
  <c r="G45" i="341" s="1"/>
  <c r="E45" i="341" s="1"/>
  <c r="AH44" i="341"/>
  <c r="AE44" i="341"/>
  <c r="AB44" i="341"/>
  <c r="Y44" i="341"/>
  <c r="V44" i="341"/>
  <c r="S44" i="341"/>
  <c r="P44" i="341"/>
  <c r="M44" i="341"/>
  <c r="G44" i="341" s="1"/>
  <c r="J44" i="341"/>
  <c r="AH43" i="341"/>
  <c r="AE43" i="341"/>
  <c r="AB43" i="341"/>
  <c r="Y43" i="341"/>
  <c r="V43" i="341"/>
  <c r="S43" i="341"/>
  <c r="P43" i="341"/>
  <c r="M43" i="341"/>
  <c r="J43" i="341"/>
  <c r="G43" i="341"/>
  <c r="F43" i="341"/>
  <c r="AH42" i="341"/>
  <c r="AE42" i="341"/>
  <c r="AB42" i="341"/>
  <c r="W42" i="341"/>
  <c r="Y42" i="341" s="1"/>
  <c r="G42" i="341" s="1"/>
  <c r="E42" i="341" s="1"/>
  <c r="V42" i="341"/>
  <c r="S42" i="341"/>
  <c r="P42" i="341"/>
  <c r="M42" i="341"/>
  <c r="J42" i="341"/>
  <c r="AH41" i="341"/>
  <c r="AE41" i="341"/>
  <c r="AB41" i="341"/>
  <c r="Y41" i="341"/>
  <c r="V41" i="341"/>
  <c r="S41" i="341"/>
  <c r="P41" i="341"/>
  <c r="M41" i="341"/>
  <c r="J41" i="341"/>
  <c r="G41" i="341" s="1"/>
  <c r="E41" i="341" s="1"/>
  <c r="AH40" i="341"/>
  <c r="AE40" i="341"/>
  <c r="AB40" i="341"/>
  <c r="Y40" i="341"/>
  <c r="W40" i="341"/>
  <c r="V40" i="341"/>
  <c r="S40" i="341"/>
  <c r="P40" i="341"/>
  <c r="G40" i="341" s="1"/>
  <c r="M40" i="341"/>
  <c r="J40" i="341"/>
  <c r="AH39" i="341"/>
  <c r="AE39" i="341"/>
  <c r="AB39" i="341"/>
  <c r="W39" i="341"/>
  <c r="Y39" i="341" s="1"/>
  <c r="V39" i="341"/>
  <c r="S39" i="341"/>
  <c r="P39" i="341"/>
  <c r="M39" i="341"/>
  <c r="G39" i="341" s="1"/>
  <c r="E39" i="341" s="1"/>
  <c r="J39" i="341"/>
  <c r="AH38" i="341"/>
  <c r="AE38" i="341"/>
  <c r="AB38" i="341"/>
  <c r="Y38" i="341"/>
  <c r="V38" i="341"/>
  <c r="S38" i="341"/>
  <c r="P38" i="341"/>
  <c r="M38" i="341"/>
  <c r="J38" i="341"/>
  <c r="G38" i="341" s="1"/>
  <c r="E38" i="341" s="1"/>
  <c r="F38" i="341"/>
  <c r="D38" i="341"/>
  <c r="AH37" i="341"/>
  <c r="AE37" i="341"/>
  <c r="AB37" i="341"/>
  <c r="Y37" i="341"/>
  <c r="X37" i="341"/>
  <c r="X58" i="341" s="1"/>
  <c r="V37" i="341"/>
  <c r="S37" i="341"/>
  <c r="P37" i="341"/>
  <c r="G37" i="341" s="1"/>
  <c r="E37" i="341" s="1"/>
  <c r="M37" i="341"/>
  <c r="J37" i="341"/>
  <c r="AH36" i="341"/>
  <c r="AE36" i="341"/>
  <c r="AB36" i="341"/>
  <c r="Y36" i="341"/>
  <c r="V36" i="341"/>
  <c r="S36" i="341"/>
  <c r="P36" i="341"/>
  <c r="M36" i="341"/>
  <c r="G36" i="341" s="1"/>
  <c r="E36" i="341" s="1"/>
  <c r="J36" i="341"/>
  <c r="AH35" i="341"/>
  <c r="AE35" i="341"/>
  <c r="AB35" i="341"/>
  <c r="W35" i="341"/>
  <c r="Y35" i="341" s="1"/>
  <c r="V35" i="341"/>
  <c r="S35" i="341"/>
  <c r="P35" i="341"/>
  <c r="M35" i="341"/>
  <c r="G35" i="341" s="1"/>
  <c r="E35" i="341" s="1"/>
  <c r="J35" i="341"/>
  <c r="F35" i="341"/>
  <c r="AH34" i="341"/>
  <c r="AE34" i="341"/>
  <c r="AB34" i="341"/>
  <c r="Y34" i="341"/>
  <c r="V34" i="341"/>
  <c r="S34" i="341"/>
  <c r="P34" i="341"/>
  <c r="M34" i="341"/>
  <c r="G34" i="341" s="1"/>
  <c r="E34" i="341" s="1"/>
  <c r="J34" i="341"/>
  <c r="AH33" i="341"/>
  <c r="AE33" i="341"/>
  <c r="AB33" i="341"/>
  <c r="W33" i="341"/>
  <c r="Y33" i="341" s="1"/>
  <c r="V33" i="341"/>
  <c r="S33" i="341"/>
  <c r="P33" i="341"/>
  <c r="M33" i="341"/>
  <c r="G33" i="341" s="1"/>
  <c r="E33" i="341" s="1"/>
  <c r="J33" i="341"/>
  <c r="AH32" i="341"/>
  <c r="AE32" i="341"/>
  <c r="AB32" i="341"/>
  <c r="Y32" i="341"/>
  <c r="V32" i="341"/>
  <c r="S32" i="341"/>
  <c r="P32" i="341"/>
  <c r="M32" i="341"/>
  <c r="J32" i="341"/>
  <c r="G32" i="341" s="1"/>
  <c r="F32" i="341"/>
  <c r="E32" i="341" s="1"/>
  <c r="AH31" i="341"/>
  <c r="AE31" i="341"/>
  <c r="AB31" i="341"/>
  <c r="Y31" i="341"/>
  <c r="V31" i="341"/>
  <c r="S31" i="341"/>
  <c r="P31" i="341"/>
  <c r="M31" i="341"/>
  <c r="J31" i="341"/>
  <c r="G31" i="341" s="1"/>
  <c r="E31" i="341" s="1"/>
  <c r="AH30" i="341"/>
  <c r="AE30" i="341"/>
  <c r="AB30" i="341"/>
  <c r="Y30" i="341"/>
  <c r="V30" i="341"/>
  <c r="S30" i="341"/>
  <c r="P30" i="341"/>
  <c r="M30" i="341"/>
  <c r="J30" i="341"/>
  <c r="G30" i="341"/>
  <c r="E30" i="341" s="1"/>
  <c r="AH29" i="341"/>
  <c r="AE29" i="341"/>
  <c r="AB29" i="341"/>
  <c r="W29" i="341"/>
  <c r="Y29" i="341" s="1"/>
  <c r="G29" i="341" s="1"/>
  <c r="E29" i="341" s="1"/>
  <c r="V29" i="341"/>
  <c r="S29" i="341"/>
  <c r="P29" i="341"/>
  <c r="M29" i="341"/>
  <c r="J29" i="341"/>
  <c r="AH28" i="341"/>
  <c r="AE28" i="341"/>
  <c r="AB28" i="341"/>
  <c r="Y28" i="341"/>
  <c r="V28" i="341"/>
  <c r="S28" i="341"/>
  <c r="P28" i="341"/>
  <c r="G28" i="341" s="1"/>
  <c r="M28" i="341"/>
  <c r="J28" i="341"/>
  <c r="F28" i="341"/>
  <c r="AH27" i="341"/>
  <c r="AE27" i="341"/>
  <c r="AB27" i="341"/>
  <c r="Z27" i="341"/>
  <c r="W27" i="341"/>
  <c r="Y27" i="341" s="1"/>
  <c r="V27" i="341"/>
  <c r="S27" i="341"/>
  <c r="P27" i="341"/>
  <c r="M27" i="341"/>
  <c r="J27" i="341"/>
  <c r="G27" i="341" s="1"/>
  <c r="F27" i="341"/>
  <c r="AH26" i="341"/>
  <c r="AE26" i="341"/>
  <c r="AB26" i="341"/>
  <c r="Y26" i="341"/>
  <c r="V26" i="341"/>
  <c r="S26" i="341"/>
  <c r="P26" i="341"/>
  <c r="M26" i="341"/>
  <c r="J26" i="341"/>
  <c r="G26" i="341" s="1"/>
  <c r="E26" i="341" s="1"/>
  <c r="AH25" i="341"/>
  <c r="AE25" i="341"/>
  <c r="AB25" i="341"/>
  <c r="Y25" i="341"/>
  <c r="W25" i="341"/>
  <c r="V25" i="341"/>
  <c r="T25" i="341"/>
  <c r="T58" i="341" s="1"/>
  <c r="S25" i="341"/>
  <c r="Q25" i="341"/>
  <c r="Q58" i="341" s="1"/>
  <c r="P25" i="341"/>
  <c r="M25" i="341"/>
  <c r="J25" i="341"/>
  <c r="G25" i="341" s="1"/>
  <c r="F25" i="341"/>
  <c r="E25" i="341" s="1"/>
  <c r="AH24" i="341"/>
  <c r="AE24" i="341"/>
  <c r="AB24" i="341"/>
  <c r="Y24" i="341"/>
  <c r="V24" i="341"/>
  <c r="S24" i="341"/>
  <c r="P24" i="341"/>
  <c r="M24" i="341"/>
  <c r="J24" i="341"/>
  <c r="G24" i="341" s="1"/>
  <c r="F24" i="341"/>
  <c r="D24" i="341"/>
  <c r="AH23" i="341"/>
  <c r="AE23" i="341"/>
  <c r="AB23" i="341"/>
  <c r="Y23" i="341"/>
  <c r="W23" i="341"/>
  <c r="V23" i="341"/>
  <c r="S23" i="341"/>
  <c r="P23" i="341"/>
  <c r="M23" i="341"/>
  <c r="J23" i="341"/>
  <c r="G23" i="341" s="1"/>
  <c r="F23" i="341"/>
  <c r="AH22" i="341"/>
  <c r="AE22" i="341"/>
  <c r="AB22" i="341"/>
  <c r="Y22" i="341"/>
  <c r="V22" i="341"/>
  <c r="S22" i="341"/>
  <c r="P22" i="341"/>
  <c r="M22" i="341"/>
  <c r="J22" i="341"/>
  <c r="G22" i="341" s="1"/>
  <c r="E22" i="341" s="1"/>
  <c r="AH21" i="341"/>
  <c r="AE21" i="341"/>
  <c r="AB21" i="341"/>
  <c r="Y21" i="341"/>
  <c r="V21" i="341"/>
  <c r="S21" i="341"/>
  <c r="P21" i="341"/>
  <c r="M21" i="341"/>
  <c r="J21" i="341"/>
  <c r="G21" i="341"/>
  <c r="E21" i="341" s="1"/>
  <c r="AH20" i="341"/>
  <c r="AE20" i="341"/>
  <c r="AB20" i="341"/>
  <c r="Y20" i="341"/>
  <c r="V20" i="341"/>
  <c r="S20" i="341"/>
  <c r="P20" i="341"/>
  <c r="G20" i="341" s="1"/>
  <c r="E20" i="341" s="1"/>
  <c r="M20" i="341"/>
  <c r="J20" i="341"/>
  <c r="AH19" i="341"/>
  <c r="AE19" i="341"/>
  <c r="AB19" i="341"/>
  <c r="Y19" i="341"/>
  <c r="V19" i="341"/>
  <c r="S19" i="341"/>
  <c r="P19" i="341"/>
  <c r="M19" i="341"/>
  <c r="G19" i="341" s="1"/>
  <c r="E19" i="341" s="1"/>
  <c r="J19" i="341"/>
  <c r="AH18" i="341"/>
  <c r="AE18" i="341"/>
  <c r="AB18" i="341"/>
  <c r="Y18" i="341"/>
  <c r="V18" i="341"/>
  <c r="S18" i="341"/>
  <c r="P18" i="341"/>
  <c r="M18" i="341"/>
  <c r="J18" i="341"/>
  <c r="G18" i="341" s="1"/>
  <c r="E18" i="341" s="1"/>
  <c r="AH17" i="341"/>
  <c r="AE17" i="341"/>
  <c r="AB17" i="341"/>
  <c r="W17" i="341"/>
  <c r="Y17" i="341" s="1"/>
  <c r="V17" i="341"/>
  <c r="S17" i="341"/>
  <c r="P17" i="341"/>
  <c r="M17" i="341"/>
  <c r="J17" i="341"/>
  <c r="G17" i="341" s="1"/>
  <c r="E17" i="341" s="1"/>
  <c r="AH16" i="341"/>
  <c r="AE16" i="341"/>
  <c r="AB16" i="341"/>
  <c r="Y16" i="341"/>
  <c r="V16" i="341"/>
  <c r="S16" i="341"/>
  <c r="P16" i="341"/>
  <c r="M16" i="341"/>
  <c r="J16" i="341"/>
  <c r="G16" i="341"/>
  <c r="E16" i="341" s="1"/>
  <c r="F16" i="341"/>
  <c r="AH15" i="341"/>
  <c r="AE15" i="341"/>
  <c r="AB15" i="341"/>
  <c r="Y15" i="341"/>
  <c r="V15" i="341"/>
  <c r="S15" i="341"/>
  <c r="P15" i="341"/>
  <c r="M15" i="341"/>
  <c r="J15" i="341"/>
  <c r="G15" i="341"/>
  <c r="E15" i="341" s="1"/>
  <c r="F15" i="341"/>
  <c r="AH14" i="341"/>
  <c r="AE14" i="341"/>
  <c r="AB14" i="341"/>
  <c r="Y14" i="341"/>
  <c r="V14" i="341"/>
  <c r="S14" i="341"/>
  <c r="P14" i="341"/>
  <c r="M14" i="341"/>
  <c r="J14" i="341"/>
  <c r="G14" i="341"/>
  <c r="E14" i="341" s="1"/>
  <c r="AH13" i="341"/>
  <c r="AE13" i="341"/>
  <c r="AB13" i="341"/>
  <c r="Y13" i="341"/>
  <c r="V13" i="341"/>
  <c r="S13" i="341"/>
  <c r="P13" i="341"/>
  <c r="G13" i="341" s="1"/>
  <c r="E13" i="341" s="1"/>
  <c r="M13" i="341"/>
  <c r="J13" i="341"/>
  <c r="AH12" i="341"/>
  <c r="AE12" i="341"/>
  <c r="AB12" i="341"/>
  <c r="Y12" i="341"/>
  <c r="W12" i="341"/>
  <c r="W58" i="341" s="1"/>
  <c r="V12" i="341"/>
  <c r="S12" i="341"/>
  <c r="P12" i="341"/>
  <c r="G12" i="341" s="1"/>
  <c r="M12" i="341"/>
  <c r="J12" i="341"/>
  <c r="F12" i="341"/>
  <c r="E12" i="341" s="1"/>
  <c r="AH11" i="341"/>
  <c r="AE11" i="341"/>
  <c r="AB11" i="341"/>
  <c r="Y11" i="341"/>
  <c r="V11" i="341"/>
  <c r="S11" i="341"/>
  <c r="P11" i="341"/>
  <c r="G11" i="341" s="1"/>
  <c r="E11" i="341" s="1"/>
  <c r="M11" i="341"/>
  <c r="J11" i="341"/>
  <c r="AH10" i="341"/>
  <c r="AE10" i="341"/>
  <c r="AB10" i="341"/>
  <c r="Y10" i="341"/>
  <c r="V10" i="341"/>
  <c r="S10" i="341"/>
  <c r="P10" i="341"/>
  <c r="M10" i="341"/>
  <c r="G10" i="341" s="1"/>
  <c r="E10" i="341" s="1"/>
  <c r="J10" i="341"/>
  <c r="AH9" i="341"/>
  <c r="AH58" i="341" s="1"/>
  <c r="AE9" i="341"/>
  <c r="AB9" i="341"/>
  <c r="Y9" i="341"/>
  <c r="V9" i="341"/>
  <c r="V58" i="341" s="1"/>
  <c r="S9" i="341"/>
  <c r="P9" i="341"/>
  <c r="M9" i="341"/>
  <c r="J9" i="341"/>
  <c r="G9" i="341" s="1"/>
  <c r="E9" i="341" s="1"/>
  <c r="AH8" i="341"/>
  <c r="AE8" i="341"/>
  <c r="AE58" i="341" s="1"/>
  <c r="AB8" i="341"/>
  <c r="AB58" i="341" s="1"/>
  <c r="Y8" i="341"/>
  <c r="Y58" i="341" s="1"/>
  <c r="V8" i="341"/>
  <c r="S8" i="341"/>
  <c r="S58" i="341" s="1"/>
  <c r="P8" i="341"/>
  <c r="P58" i="341" s="1"/>
  <c r="M8" i="341"/>
  <c r="M58" i="341" s="1"/>
  <c r="J8" i="341"/>
  <c r="G8" i="341"/>
  <c r="E8" i="341" s="1"/>
  <c r="E28" i="341" l="1"/>
  <c r="E23" i="341"/>
  <c r="E24" i="341"/>
  <c r="E27" i="341"/>
  <c r="J58" i="341"/>
  <c r="F58" i="341"/>
  <c r="G99" i="318" l="1"/>
  <c r="G86" i="318" l="1"/>
  <c r="N78" i="317" l="1"/>
  <c r="M78" i="317"/>
  <c r="K78" i="317"/>
  <c r="J78" i="317"/>
  <c r="I78" i="317"/>
  <c r="G78" i="317"/>
  <c r="F78" i="317"/>
  <c r="E78" i="317"/>
  <c r="D78" i="317"/>
  <c r="C78" i="317"/>
  <c r="O12" i="317"/>
  <c r="O78" i="317" s="1"/>
  <c r="L12" i="317"/>
  <c r="H12" i="317"/>
  <c r="G94" i="318"/>
  <c r="P12" i="317" l="1"/>
  <c r="E71" i="318"/>
  <c r="G226" i="318" l="1"/>
  <c r="H23" i="260" l="1"/>
  <c r="H24" i="260"/>
  <c r="L18" i="321" l="1"/>
  <c r="L7" i="321"/>
  <c r="L6" i="321"/>
  <c r="J24" i="240"/>
  <c r="H253" i="318" l="1"/>
  <c r="G243" i="318"/>
  <c r="E101" i="318"/>
  <c r="H84" i="318"/>
  <c r="H250" i="318"/>
  <c r="G250" i="318"/>
  <c r="H249" i="318"/>
  <c r="G249" i="318"/>
  <c r="D250" i="318"/>
  <c r="D249" i="318"/>
  <c r="G137" i="318" l="1"/>
  <c r="G160" i="318"/>
  <c r="L52" i="317"/>
  <c r="H52" i="317"/>
  <c r="E93" i="318"/>
  <c r="P52" i="317" l="1"/>
  <c r="P153" i="317" l="1"/>
  <c r="G247" i="318"/>
  <c r="L32" i="317" l="1"/>
  <c r="H32" i="317"/>
  <c r="D70" i="315"/>
  <c r="P32" i="317" l="1"/>
  <c r="G100" i="318" l="1"/>
  <c r="L47" i="317"/>
  <c r="H47" i="317"/>
  <c r="G69" i="318"/>
  <c r="G10" i="318"/>
  <c r="G51" i="318"/>
  <c r="P47" i="317" l="1"/>
  <c r="G34" i="318"/>
  <c r="G84" i="318" l="1"/>
  <c r="G70" i="318"/>
  <c r="O11" i="317" l="1"/>
  <c r="L11" i="317"/>
  <c r="H11" i="317"/>
  <c r="C193" i="318"/>
  <c r="P11" i="317" l="1"/>
  <c r="R19" i="239"/>
  <c r="D47" i="239" l="1"/>
  <c r="E47" i="239"/>
  <c r="G47" i="239"/>
  <c r="H47" i="239"/>
  <c r="I47" i="239"/>
  <c r="O47" i="239"/>
  <c r="P47" i="239"/>
  <c r="Q47" i="239"/>
  <c r="S47" i="239"/>
  <c r="T47" i="239"/>
  <c r="U47" i="239"/>
  <c r="C47" i="239"/>
  <c r="AG44" i="239"/>
  <c r="AF44" i="239"/>
  <c r="AE44" i="239"/>
  <c r="AC44" i="239"/>
  <c r="AB44" i="239"/>
  <c r="AA44" i="239"/>
  <c r="Y44" i="239"/>
  <c r="X44" i="239"/>
  <c r="W44" i="239"/>
  <c r="V44" i="239"/>
  <c r="R44" i="239"/>
  <c r="M44" i="239"/>
  <c r="L44" i="239"/>
  <c r="K44" i="239"/>
  <c r="J44" i="239"/>
  <c r="F44" i="239"/>
  <c r="J44" i="261"/>
  <c r="I44" i="261"/>
  <c r="H44" i="261"/>
  <c r="E44" i="261"/>
  <c r="D47" i="261"/>
  <c r="F47" i="261"/>
  <c r="G47" i="261"/>
  <c r="C47" i="261"/>
  <c r="AD44" i="239" l="1"/>
  <c r="Z44" i="239"/>
  <c r="K44" i="261"/>
  <c r="N44" i="239"/>
  <c r="AL44" i="239" s="1"/>
  <c r="AJ44" i="239"/>
  <c r="AH44" i="239"/>
  <c r="AK44" i="239"/>
  <c r="AI44" i="239"/>
  <c r="I37" i="299" l="1"/>
  <c r="K8" i="321"/>
  <c r="E17" i="321" l="1"/>
  <c r="J9" i="321" l="1"/>
  <c r="K11" i="321"/>
  <c r="J10" i="321"/>
  <c r="J8" i="321"/>
  <c r="I8" i="321"/>
  <c r="H8" i="321"/>
  <c r="G8" i="321"/>
  <c r="F8" i="321"/>
  <c r="E8" i="321"/>
  <c r="E22" i="321" l="1"/>
  <c r="D11" i="321"/>
  <c r="B10" i="321"/>
  <c r="D9" i="321"/>
  <c r="D8" i="321"/>
  <c r="C8" i="321"/>
  <c r="B8" i="321"/>
  <c r="H21" i="240" l="1"/>
  <c r="I21" i="240"/>
  <c r="AG24" i="239" l="1"/>
  <c r="AF24" i="239"/>
  <c r="AE24" i="239"/>
  <c r="AC24" i="239"/>
  <c r="AB24" i="239"/>
  <c r="AA24" i="239"/>
  <c r="Y24" i="239"/>
  <c r="X24" i="239"/>
  <c r="W24" i="239"/>
  <c r="V24" i="239"/>
  <c r="R24" i="239"/>
  <c r="M24" i="239"/>
  <c r="L24" i="239"/>
  <c r="K24" i="239"/>
  <c r="J24" i="239"/>
  <c r="F24" i="239"/>
  <c r="N24" i="239" l="1"/>
  <c r="AJ24" i="239"/>
  <c r="Z24" i="239"/>
  <c r="AH24" i="239"/>
  <c r="AD24" i="239"/>
  <c r="AI24" i="239"/>
  <c r="AK24" i="239"/>
  <c r="AL24" i="239" l="1"/>
  <c r="J24" i="261"/>
  <c r="I24" i="261"/>
  <c r="H24" i="261"/>
  <c r="E24" i="261"/>
  <c r="K24" i="261" l="1"/>
  <c r="G240" i="318" l="1"/>
  <c r="H251" i="318"/>
  <c r="G251" i="318"/>
  <c r="D251" i="318"/>
  <c r="D78" i="315" l="1"/>
  <c r="G6" i="318" l="1"/>
  <c r="G238" i="318"/>
  <c r="L38" i="317" l="1"/>
  <c r="H38" i="317"/>
  <c r="L35" i="317"/>
  <c r="H35" i="317"/>
  <c r="P38" i="317" l="1"/>
  <c r="P35" i="317"/>
  <c r="D77" i="315" l="1"/>
  <c r="G62" i="318"/>
  <c r="H101" i="316" l="1"/>
  <c r="F84" i="315"/>
  <c r="G192" i="318"/>
  <c r="G191" i="318"/>
  <c r="D76" i="315"/>
  <c r="L41" i="317"/>
  <c r="H41" i="317"/>
  <c r="G97" i="318"/>
  <c r="P41" i="317" l="1"/>
  <c r="G85" i="318" l="1"/>
  <c r="G194" i="318" l="1"/>
  <c r="E153" i="318"/>
  <c r="G122" i="318"/>
  <c r="G128" i="318"/>
  <c r="G125" i="318"/>
  <c r="G107" i="318"/>
  <c r="G116" i="318"/>
  <c r="E25" i="318"/>
  <c r="G58" i="318"/>
  <c r="G56" i="318"/>
  <c r="G37" i="318"/>
  <c r="G20" i="318"/>
  <c r="G19" i="318"/>
  <c r="G18" i="318"/>
  <c r="E61" i="318"/>
  <c r="H76" i="317" l="1"/>
  <c r="L76" i="317"/>
  <c r="P76" i="317" l="1"/>
  <c r="G235" i="318" l="1"/>
  <c r="G206" i="318"/>
  <c r="G221" i="318"/>
  <c r="G215" i="318" l="1"/>
  <c r="D57" i="315" l="1"/>
  <c r="G159" i="318" l="1"/>
  <c r="G219" i="318" l="1"/>
  <c r="G230" i="318"/>
  <c r="G60" i="318"/>
  <c r="E60" i="318"/>
  <c r="G68" i="318"/>
  <c r="G59" i="318"/>
  <c r="G117" i="318" l="1"/>
  <c r="E120" i="318"/>
  <c r="D66" i="315" l="1"/>
  <c r="G242" i="318"/>
  <c r="D58" i="316" l="1"/>
  <c r="C58" i="316"/>
  <c r="E57" i="316"/>
  <c r="D61" i="316"/>
  <c r="C61" i="316"/>
  <c r="E60" i="316"/>
  <c r="E58" i="316" l="1"/>
  <c r="E61" i="316"/>
  <c r="G103" i="318" l="1"/>
  <c r="G231" i="318" l="1"/>
  <c r="G63" i="318"/>
  <c r="D56" i="315" l="1"/>
  <c r="G105" i="318" l="1"/>
  <c r="D99" i="316"/>
  <c r="C99" i="316"/>
  <c r="E99" i="316" l="1"/>
  <c r="E98" i="316"/>
  <c r="G172" i="318" l="1"/>
  <c r="G133" i="318"/>
  <c r="C97" i="315" l="1"/>
  <c r="B97" i="315"/>
  <c r="D95" i="315" l="1"/>
  <c r="H244" i="318" l="1"/>
  <c r="D39" i="316" l="1"/>
  <c r="C39" i="316"/>
  <c r="E38" i="316"/>
  <c r="D42" i="316"/>
  <c r="C42" i="316"/>
  <c r="E41" i="316"/>
  <c r="E42" i="316" l="1"/>
  <c r="C42" i="315" l="1"/>
  <c r="C164" i="317" l="1"/>
  <c r="C166" i="317" s="1"/>
  <c r="O10" i="317"/>
  <c r="L10" i="317"/>
  <c r="H10" i="317"/>
  <c r="P10" i="317" l="1"/>
  <c r="C239" i="318"/>
  <c r="D202" i="318"/>
  <c r="C202" i="318"/>
  <c r="D239" i="318" l="1"/>
  <c r="D206" i="318"/>
  <c r="C206" i="318"/>
  <c r="D193" i="318"/>
  <c r="D64" i="318"/>
  <c r="H26" i="260"/>
  <c r="E11" i="261" l="1"/>
  <c r="E12" i="261"/>
  <c r="E16" i="261"/>
  <c r="M9" i="239" l="1"/>
  <c r="L9" i="239"/>
  <c r="K9" i="239"/>
  <c r="E18" i="321" l="1"/>
  <c r="J22" i="321"/>
  <c r="G223" i="318" l="1"/>
  <c r="G18" i="321" l="1"/>
  <c r="F18" i="321"/>
  <c r="D18" i="321"/>
  <c r="C18" i="321"/>
  <c r="K18" i="321"/>
  <c r="J18" i="321"/>
  <c r="I18" i="321"/>
  <c r="H18" i="321"/>
  <c r="G22" i="321"/>
  <c r="O14" i="321"/>
  <c r="P24" i="321" s="1"/>
  <c r="K41" i="239" l="1"/>
  <c r="AI41" i="239" s="1"/>
  <c r="L41" i="239"/>
  <c r="AJ41" i="239" s="1"/>
  <c r="M41" i="239"/>
  <c r="AK41" i="239" s="1"/>
  <c r="J41" i="239"/>
  <c r="F41" i="239"/>
  <c r="AE41" i="239"/>
  <c r="AF41" i="239"/>
  <c r="AG41" i="239"/>
  <c r="AA41" i="239"/>
  <c r="AB41" i="239"/>
  <c r="AC41" i="239"/>
  <c r="Z41" i="239"/>
  <c r="V41" i="239"/>
  <c r="R41" i="239"/>
  <c r="I41" i="261"/>
  <c r="J41" i="261"/>
  <c r="H41" i="261"/>
  <c r="E41" i="261"/>
  <c r="AH41" i="239" l="1"/>
  <c r="K41" i="261"/>
  <c r="AD41" i="239"/>
  <c r="AL41" i="239"/>
  <c r="N41" i="239"/>
  <c r="G208" i="318" l="1"/>
  <c r="G229" i="318" l="1"/>
  <c r="G248" i="318" l="1"/>
  <c r="G98" i="318" l="1"/>
  <c r="G71" i="318" l="1"/>
  <c r="G72" i="318"/>
  <c r="G50" i="318" l="1"/>
  <c r="G236" i="318"/>
  <c r="G234" i="318"/>
  <c r="G232" i="318"/>
  <c r="G225" i="318"/>
  <c r="G220" i="318"/>
  <c r="G217" i="318"/>
  <c r="G216" i="318"/>
  <c r="G218" i="318"/>
  <c r="G207" i="318"/>
  <c r="G213" i="318"/>
  <c r="G211" i="318"/>
  <c r="G210" i="318"/>
  <c r="G209" i="318"/>
  <c r="G205" i="318"/>
  <c r="G204" i="318"/>
  <c r="G203" i="318"/>
  <c r="G198" i="318"/>
  <c r="G201" i="318"/>
  <c r="G200" i="318"/>
  <c r="G199" i="318"/>
  <c r="G196" i="318"/>
  <c r="G185" i="318"/>
  <c r="G184" i="318"/>
  <c r="G182" i="318"/>
  <c r="G180" i="318"/>
  <c r="G179" i="318"/>
  <c r="G178" i="318"/>
  <c r="G173" i="318"/>
  <c r="G175" i="318"/>
  <c r="G176" i="318"/>
  <c r="G171" i="318"/>
  <c r="G165" i="318" l="1"/>
  <c r="G166" i="318"/>
  <c r="G164" i="318"/>
  <c r="G163" i="318"/>
  <c r="G162" i="318"/>
  <c r="G157" i="318"/>
  <c r="G156" i="318"/>
  <c r="G155" i="318"/>
  <c r="G154" i="318"/>
  <c r="G152" i="318"/>
  <c r="G151" i="318"/>
  <c r="G150" i="318"/>
  <c r="G149" i="318"/>
  <c r="G148" i="318"/>
  <c r="G147" i="318"/>
  <c r="G145" i="318"/>
  <c r="G144" i="318"/>
  <c r="G134" i="318" l="1"/>
  <c r="G123" i="318"/>
  <c r="G118" i="318" l="1"/>
  <c r="G111" i="318"/>
  <c r="G110" i="318"/>
  <c r="G113" i="318"/>
  <c r="G78" i="318"/>
  <c r="G73" i="318"/>
  <c r="G65" i="318" l="1"/>
  <c r="G57" i="318" l="1"/>
  <c r="G48" i="318"/>
  <c r="G46" i="318"/>
  <c r="G47" i="318"/>
  <c r="G44" i="318"/>
  <c r="G39" i="318"/>
  <c r="G38" i="318"/>
  <c r="G35" i="318"/>
  <c r="G32" i="318"/>
  <c r="G43" i="318"/>
  <c r="G29" i="318"/>
  <c r="G33" i="318"/>
  <c r="G28" i="318"/>
  <c r="G26" i="318"/>
  <c r="G27" i="318"/>
  <c r="G42" i="318"/>
  <c r="G41" i="318"/>
  <c r="G21" i="318"/>
  <c r="G102" i="318" l="1"/>
  <c r="G190" i="318" l="1"/>
  <c r="F190" i="318"/>
  <c r="D190" i="318"/>
  <c r="D106" i="318" s="1"/>
  <c r="C190" i="318"/>
  <c r="L60" i="317"/>
  <c r="H60" i="317"/>
  <c r="P60" i="317" l="1"/>
  <c r="G82" i="318" l="1"/>
  <c r="G83" i="318"/>
  <c r="G228" i="318" l="1"/>
  <c r="G8" i="318" l="1"/>
  <c r="L22" i="317" l="1"/>
  <c r="H22" i="317"/>
  <c r="G181" i="318"/>
  <c r="G141" i="318"/>
  <c r="P22" i="317" l="1"/>
  <c r="M163" i="317"/>
  <c r="N163" i="317" l="1"/>
  <c r="C86" i="316" l="1"/>
  <c r="C78" i="316"/>
  <c r="C73" i="316"/>
  <c r="O9" i="317" l="1"/>
  <c r="L9" i="317"/>
  <c r="H9" i="317"/>
  <c r="P9" i="317" l="1"/>
  <c r="N17" i="321" l="1"/>
  <c r="S17" i="321" s="1"/>
  <c r="B26" i="321" l="1"/>
  <c r="L24" i="321"/>
  <c r="K24" i="321"/>
  <c r="H24" i="321"/>
  <c r="D24" i="321"/>
  <c r="C24" i="321"/>
  <c r="N23" i="321"/>
  <c r="Q23" i="321" s="1"/>
  <c r="N22" i="321"/>
  <c r="Q22" i="321" s="1"/>
  <c r="G24" i="321"/>
  <c r="N21" i="321"/>
  <c r="Q21" i="321" s="1"/>
  <c r="N20" i="321"/>
  <c r="Q20" i="321" s="1"/>
  <c r="N19" i="321"/>
  <c r="Q19" i="321" s="1"/>
  <c r="M24" i="321"/>
  <c r="J24" i="321"/>
  <c r="I24" i="321"/>
  <c r="F24" i="321"/>
  <c r="E24" i="321"/>
  <c r="B24" i="321"/>
  <c r="L14" i="321"/>
  <c r="K14" i="321"/>
  <c r="H14" i="321"/>
  <c r="G14" i="321"/>
  <c r="C14" i="321"/>
  <c r="N13" i="321"/>
  <c r="N11" i="321"/>
  <c r="Q11" i="321" s="1"/>
  <c r="N10" i="321"/>
  <c r="Q10" i="321" s="1"/>
  <c r="N9" i="321"/>
  <c r="Q9" i="321" s="1"/>
  <c r="M14" i="321"/>
  <c r="J14" i="321"/>
  <c r="I14" i="321"/>
  <c r="F14" i="321"/>
  <c r="E14" i="321"/>
  <c r="N8" i="321"/>
  <c r="Q8" i="321" s="1"/>
  <c r="N7" i="321"/>
  <c r="Q7" i="321" s="1"/>
  <c r="N6" i="321"/>
  <c r="Q6" i="321" s="1"/>
  <c r="Q5" i="321"/>
  <c r="B14" i="321"/>
  <c r="P13" i="321" l="1"/>
  <c r="Q13" i="321"/>
  <c r="C27" i="321"/>
  <c r="K27" i="321"/>
  <c r="H27" i="321"/>
  <c r="L27" i="321"/>
  <c r="M27" i="321"/>
  <c r="J27" i="321"/>
  <c r="I27" i="321"/>
  <c r="F27" i="321"/>
  <c r="E27" i="321"/>
  <c r="B27" i="321"/>
  <c r="B28" i="321" s="1"/>
  <c r="C26" i="321" s="1"/>
  <c r="G27" i="321"/>
  <c r="N14" i="321"/>
  <c r="D14" i="321"/>
  <c r="D27" i="321" s="1"/>
  <c r="N18" i="321"/>
  <c r="Q18" i="321" s="1"/>
  <c r="N24" i="321" l="1"/>
  <c r="C28" i="321"/>
  <c r="D26" i="321" s="1"/>
  <c r="D28" i="321" s="1"/>
  <c r="E26" i="321" s="1"/>
  <c r="E28" i="321" s="1"/>
  <c r="F26" i="321" s="1"/>
  <c r="F28" i="321" s="1"/>
  <c r="G26" i="321" s="1"/>
  <c r="G28" i="321" s="1"/>
  <c r="H26" i="321" s="1"/>
  <c r="H28" i="321" s="1"/>
  <c r="I26" i="321" s="1"/>
  <c r="I28" i="321" s="1"/>
  <c r="J26" i="321" s="1"/>
  <c r="J28" i="321" s="1"/>
  <c r="K26" i="321" s="1"/>
  <c r="K28" i="321" s="1"/>
  <c r="L26" i="321" s="1"/>
  <c r="L28" i="321" s="1"/>
  <c r="M26" i="321" s="1"/>
  <c r="M28" i="321" s="1"/>
  <c r="G127" i="318" l="1"/>
  <c r="E33" i="299" l="1"/>
  <c r="E15" i="299"/>
  <c r="G239" i="318" l="1"/>
  <c r="E253" i="318"/>
  <c r="E252" i="318"/>
  <c r="E251" i="318"/>
  <c r="E250" i="318"/>
  <c r="E249" i="318"/>
  <c r="E248" i="318"/>
  <c r="E247" i="318"/>
  <c r="E246" i="318"/>
  <c r="E245" i="318"/>
  <c r="E244" i="318"/>
  <c r="E243" i="318"/>
  <c r="E242" i="318"/>
  <c r="E241" i="318"/>
  <c r="E240" i="318"/>
  <c r="H239" i="318"/>
  <c r="F239" i="318"/>
  <c r="E238" i="318"/>
  <c r="E236" i="318"/>
  <c r="E235" i="318"/>
  <c r="E234" i="318"/>
  <c r="E233" i="318"/>
  <c r="E232" i="318"/>
  <c r="E231" i="318"/>
  <c r="E230" i="318"/>
  <c r="E229" i="318"/>
  <c r="E228" i="318"/>
  <c r="H227" i="318"/>
  <c r="G227" i="318"/>
  <c r="F227" i="318"/>
  <c r="D227" i="318"/>
  <c r="C227" i="318"/>
  <c r="E226" i="318"/>
  <c r="E225" i="318"/>
  <c r="G224" i="318"/>
  <c r="E224" i="318"/>
  <c r="E223" i="318"/>
  <c r="G222" i="318"/>
  <c r="E222" i="318"/>
  <c r="E221" i="318"/>
  <c r="E220" i="318"/>
  <c r="E219" i="318"/>
  <c r="E218" i="318"/>
  <c r="E217" i="318"/>
  <c r="E216" i="318"/>
  <c r="E215" i="318"/>
  <c r="E214" i="318"/>
  <c r="E213" i="318"/>
  <c r="G212" i="318"/>
  <c r="E212" i="318"/>
  <c r="E211" i="318"/>
  <c r="E210" i="318"/>
  <c r="E209" i="318"/>
  <c r="E208" i="318"/>
  <c r="E207" i="318"/>
  <c r="E205" i="318"/>
  <c r="E204" i="318"/>
  <c r="E203" i="318"/>
  <c r="H202" i="318"/>
  <c r="G202" i="318"/>
  <c r="F202" i="318"/>
  <c r="E201" i="318"/>
  <c r="E200" i="318"/>
  <c r="E199" i="318"/>
  <c r="E198" i="318"/>
  <c r="E197" i="318"/>
  <c r="E196" i="318"/>
  <c r="E195" i="318"/>
  <c r="E194" i="318"/>
  <c r="G193" i="318"/>
  <c r="F193" i="318"/>
  <c r="F106" i="318" s="1"/>
  <c r="E193" i="318"/>
  <c r="E192" i="318"/>
  <c r="E191" i="318"/>
  <c r="H190" i="318"/>
  <c r="E190" i="318"/>
  <c r="G189" i="318"/>
  <c r="E189" i="318"/>
  <c r="G188" i="318"/>
  <c r="E188" i="318"/>
  <c r="E187" i="318"/>
  <c r="G186" i="318"/>
  <c r="E186" i="318"/>
  <c r="E185" i="318"/>
  <c r="E184" i="318"/>
  <c r="E183" i="318"/>
  <c r="E182" i="318"/>
  <c r="E181" i="318"/>
  <c r="E180" i="318"/>
  <c r="E179" i="318"/>
  <c r="E178" i="318"/>
  <c r="E177" i="318"/>
  <c r="E176" i="318"/>
  <c r="E175" i="318"/>
  <c r="E174" i="318"/>
  <c r="E173" i="318"/>
  <c r="E172" i="318"/>
  <c r="E171" i="318"/>
  <c r="E169" i="318"/>
  <c r="E168" i="318"/>
  <c r="G167" i="318"/>
  <c r="E167" i="318"/>
  <c r="E166" i="318"/>
  <c r="E165" i="318"/>
  <c r="E164" i="318"/>
  <c r="E163" i="318"/>
  <c r="E162" i="318"/>
  <c r="G161" i="318"/>
  <c r="E161" i="318"/>
  <c r="E160" i="318"/>
  <c r="E159" i="318"/>
  <c r="E158" i="318"/>
  <c r="E157" i="318"/>
  <c r="E156" i="318"/>
  <c r="E155" i="318"/>
  <c r="E154" i="318"/>
  <c r="E152" i="318"/>
  <c r="E151" i="318"/>
  <c r="E150" i="318"/>
  <c r="E149" i="318"/>
  <c r="E148" i="318"/>
  <c r="E147" i="318"/>
  <c r="G146" i="318"/>
  <c r="E146" i="318"/>
  <c r="E145" i="318"/>
  <c r="E144" i="318"/>
  <c r="E143" i="318"/>
  <c r="E141" i="318"/>
  <c r="E140" i="318"/>
  <c r="G139" i="318"/>
  <c r="E139" i="318"/>
  <c r="E137" i="318"/>
  <c r="E136" i="318"/>
  <c r="E135" i="318"/>
  <c r="E134" i="318"/>
  <c r="E133" i="318"/>
  <c r="E132" i="318"/>
  <c r="E131" i="318"/>
  <c r="E130" i="318"/>
  <c r="E129" i="318"/>
  <c r="E128" i="318"/>
  <c r="E127" i="318"/>
  <c r="E126" i="318"/>
  <c r="E125" i="318"/>
  <c r="E124" i="318"/>
  <c r="E123" i="318"/>
  <c r="E122" i="318"/>
  <c r="E121" i="318"/>
  <c r="E119" i="318"/>
  <c r="E118" i="318"/>
  <c r="E117" i="318"/>
  <c r="E116" i="318"/>
  <c r="E115" i="318"/>
  <c r="E114" i="318"/>
  <c r="E113" i="318"/>
  <c r="E112" i="318"/>
  <c r="E111" i="318"/>
  <c r="E110" i="318"/>
  <c r="E109" i="318"/>
  <c r="E108" i="318"/>
  <c r="E107" i="318"/>
  <c r="C106" i="318"/>
  <c r="E105" i="318"/>
  <c r="E104" i="318"/>
  <c r="E103" i="318"/>
  <c r="E102" i="318"/>
  <c r="E100" i="318"/>
  <c r="E99" i="318"/>
  <c r="E98" i="318"/>
  <c r="G96" i="318"/>
  <c r="E97" i="318"/>
  <c r="H96" i="318"/>
  <c r="F96" i="318"/>
  <c r="D96" i="318"/>
  <c r="C96" i="318"/>
  <c r="E95" i="318"/>
  <c r="E94" i="318"/>
  <c r="E92" i="318"/>
  <c r="E91" i="318"/>
  <c r="H90" i="318"/>
  <c r="G90" i="318"/>
  <c r="F90" i="318"/>
  <c r="D90" i="318"/>
  <c r="C90" i="318"/>
  <c r="E89" i="318"/>
  <c r="E88" i="318"/>
  <c r="E87" i="318"/>
  <c r="E86" i="318"/>
  <c r="H85" i="318"/>
  <c r="F85" i="318"/>
  <c r="C85" i="318"/>
  <c r="G80" i="318"/>
  <c r="E84" i="318"/>
  <c r="E83" i="318"/>
  <c r="E82" i="318"/>
  <c r="E81" i="318"/>
  <c r="H80" i="318"/>
  <c r="F80" i="318"/>
  <c r="D80" i="318"/>
  <c r="C80" i="318"/>
  <c r="G79" i="318"/>
  <c r="E79" i="318"/>
  <c r="E78" i="318"/>
  <c r="E77" i="318"/>
  <c r="G76" i="318"/>
  <c r="E76" i="318"/>
  <c r="G75" i="318"/>
  <c r="E75" i="318"/>
  <c r="F74" i="318"/>
  <c r="D74" i="318"/>
  <c r="C74" i="318"/>
  <c r="E73" i="318"/>
  <c r="E72" i="318"/>
  <c r="E70" i="318"/>
  <c r="E69" i="318"/>
  <c r="E68" i="318"/>
  <c r="E67" i="318"/>
  <c r="E66" i="318"/>
  <c r="E65" i="318"/>
  <c r="H64" i="318"/>
  <c r="H9" i="318" s="1"/>
  <c r="F64" i="318"/>
  <c r="F9" i="318" s="1"/>
  <c r="D9" i="318"/>
  <c r="E63" i="318"/>
  <c r="E62" i="318"/>
  <c r="E59" i="318"/>
  <c r="E58" i="318"/>
  <c r="E57" i="318"/>
  <c r="E56" i="318"/>
  <c r="E55" i="318"/>
  <c r="E54" i="318"/>
  <c r="E53" i="318"/>
  <c r="E52" i="318"/>
  <c r="E51" i="318"/>
  <c r="E50" i="318"/>
  <c r="E49" i="318"/>
  <c r="E48" i="318"/>
  <c r="E47" i="318"/>
  <c r="E46" i="318"/>
  <c r="C45" i="318"/>
  <c r="E45" i="318" s="1"/>
  <c r="E44" i="318"/>
  <c r="E43" i="318"/>
  <c r="E42" i="318"/>
  <c r="E41" i="318"/>
  <c r="E40" i="318"/>
  <c r="E39" i="318"/>
  <c r="E38" i="318"/>
  <c r="E37" i="318"/>
  <c r="E36" i="318"/>
  <c r="E35" i="318"/>
  <c r="E34" i="318"/>
  <c r="E33" i="318"/>
  <c r="E32" i="318"/>
  <c r="E31" i="318"/>
  <c r="E30" i="318"/>
  <c r="E29" i="318"/>
  <c r="E28" i="318"/>
  <c r="E27" i="318"/>
  <c r="E26" i="318"/>
  <c r="E24" i="318"/>
  <c r="E23" i="318"/>
  <c r="E22" i="318"/>
  <c r="E21" i="318"/>
  <c r="E20" i="318"/>
  <c r="E19" i="318"/>
  <c r="E18" i="318"/>
  <c r="E17" i="318"/>
  <c r="E16" i="318"/>
  <c r="E15" i="318"/>
  <c r="E14" i="318"/>
  <c r="E13" i="318"/>
  <c r="E12" i="318"/>
  <c r="E11" i="318"/>
  <c r="E10" i="318"/>
  <c r="E8" i="318"/>
  <c r="E7" i="318"/>
  <c r="E6" i="318"/>
  <c r="H5" i="318"/>
  <c r="H4" i="318" s="1"/>
  <c r="G5" i="318"/>
  <c r="F5" i="318"/>
  <c r="D5" i="318"/>
  <c r="C5" i="318"/>
  <c r="D103" i="315" l="1"/>
  <c r="H106" i="318"/>
  <c r="H237" i="318" s="1"/>
  <c r="H254" i="318" s="1"/>
  <c r="E202" i="318"/>
  <c r="E106" i="318"/>
  <c r="E80" i="318"/>
  <c r="E5" i="318"/>
  <c r="E227" i="318"/>
  <c r="E206" i="318"/>
  <c r="G106" i="318"/>
  <c r="G74" i="318"/>
  <c r="D4" i="318"/>
  <c r="E64" i="318"/>
  <c r="E90" i="318"/>
  <c r="F4" i="318"/>
  <c r="F237" i="318" s="1"/>
  <c r="F254" i="318" s="1"/>
  <c r="G64" i="318"/>
  <c r="G9" i="318" s="1"/>
  <c r="E74" i="318"/>
  <c r="E96" i="318"/>
  <c r="D85" i="318"/>
  <c r="E85" i="318" s="1"/>
  <c r="E239" i="318"/>
  <c r="C9" i="318"/>
  <c r="F32" i="261"/>
  <c r="G32" i="261"/>
  <c r="D32" i="261"/>
  <c r="C32" i="261"/>
  <c r="J31" i="261"/>
  <c r="I31" i="261"/>
  <c r="H31" i="261"/>
  <c r="E31" i="261"/>
  <c r="J15" i="261"/>
  <c r="I15" i="261"/>
  <c r="H15" i="261"/>
  <c r="E15" i="261"/>
  <c r="D21" i="240"/>
  <c r="E21" i="240"/>
  <c r="C21" i="240"/>
  <c r="T32" i="239"/>
  <c r="U32" i="239"/>
  <c r="S32" i="239"/>
  <c r="P32" i="239"/>
  <c r="Q32" i="239"/>
  <c r="O32" i="239"/>
  <c r="H32" i="239"/>
  <c r="I32" i="239"/>
  <c r="G32" i="239"/>
  <c r="D32" i="239"/>
  <c r="E32" i="239"/>
  <c r="C32" i="239"/>
  <c r="AG31" i="239"/>
  <c r="AF31" i="239"/>
  <c r="AE31" i="239"/>
  <c r="AC31" i="239"/>
  <c r="AB31" i="239"/>
  <c r="AA31" i="239"/>
  <c r="Y31" i="239"/>
  <c r="X31" i="239"/>
  <c r="W31" i="239"/>
  <c r="V31" i="239"/>
  <c r="R31" i="239"/>
  <c r="M31" i="239"/>
  <c r="L31" i="239"/>
  <c r="K31" i="239"/>
  <c r="J31" i="239"/>
  <c r="F31" i="239"/>
  <c r="AG15" i="239"/>
  <c r="AF15" i="239"/>
  <c r="AE15" i="239"/>
  <c r="AC15" i="239"/>
  <c r="AB15" i="239"/>
  <c r="AA15" i="239"/>
  <c r="M15" i="239"/>
  <c r="AK15" i="239" s="1"/>
  <c r="L15" i="239"/>
  <c r="AJ15" i="239" s="1"/>
  <c r="K15" i="239"/>
  <c r="J15" i="239"/>
  <c r="AH15" i="239" s="1"/>
  <c r="F15" i="239"/>
  <c r="AD15" i="239" s="1"/>
  <c r="K15" i="261" l="1"/>
  <c r="D237" i="318"/>
  <c r="D254" i="318" s="1"/>
  <c r="G4" i="318"/>
  <c r="G237" i="318" s="1"/>
  <c r="G254" i="318" s="1"/>
  <c r="E9" i="318"/>
  <c r="C4" i="318"/>
  <c r="AJ31" i="239"/>
  <c r="K31" i="261"/>
  <c r="AK31" i="239"/>
  <c r="AH31" i="239"/>
  <c r="AD31" i="239"/>
  <c r="N15" i="239"/>
  <c r="AL15" i="239" s="1"/>
  <c r="Z31" i="239"/>
  <c r="N31" i="239"/>
  <c r="AI31" i="239"/>
  <c r="AI15" i="239"/>
  <c r="H256" i="318" l="1"/>
  <c r="H260" i="318"/>
  <c r="E4" i="318"/>
  <c r="C237" i="318"/>
  <c r="AL31" i="239"/>
  <c r="L28" i="317"/>
  <c r="H28" i="317"/>
  <c r="K164" i="317"/>
  <c r="K166" i="317" s="1"/>
  <c r="J164" i="317"/>
  <c r="J166" i="317" s="1"/>
  <c r="G164" i="317"/>
  <c r="G166" i="317" s="1"/>
  <c r="F164" i="317"/>
  <c r="F166" i="317" s="1"/>
  <c r="D164" i="317"/>
  <c r="D166" i="317" s="1"/>
  <c r="O8" i="317"/>
  <c r="L8" i="317"/>
  <c r="H8" i="317"/>
  <c r="L78" i="317" l="1"/>
  <c r="L164" i="317" s="1"/>
  <c r="L166" i="317" s="1"/>
  <c r="H78" i="317"/>
  <c r="E164" i="317"/>
  <c r="E166" i="317" s="1"/>
  <c r="E237" i="318"/>
  <c r="C254" i="318"/>
  <c r="E254" i="318" s="1"/>
  <c r="I164" i="317"/>
  <c r="I166" i="317" s="1"/>
  <c r="O163" i="317"/>
  <c r="P163" i="317" s="1"/>
  <c r="P28" i="317"/>
  <c r="N164" i="317"/>
  <c r="N166" i="317" s="1"/>
  <c r="M164" i="317"/>
  <c r="M166" i="317" s="1"/>
  <c r="P8" i="317"/>
  <c r="D55" i="316"/>
  <c r="C55" i="316"/>
  <c r="E6" i="316"/>
  <c r="E7" i="316"/>
  <c r="E8" i="316"/>
  <c r="E9" i="316"/>
  <c r="E10" i="316"/>
  <c r="E11" i="316"/>
  <c r="E12" i="316"/>
  <c r="E15" i="316"/>
  <c r="E18" i="316"/>
  <c r="E20" i="316"/>
  <c r="E21" i="316"/>
  <c r="E24" i="316"/>
  <c r="E25" i="316"/>
  <c r="E28" i="316"/>
  <c r="E31" i="316"/>
  <c r="E34" i="316"/>
  <c r="E37" i="316"/>
  <c r="E39" i="316" s="1"/>
  <c r="E43" i="316"/>
  <c r="E44" i="316"/>
  <c r="E47" i="316"/>
  <c r="E50" i="316"/>
  <c r="E53" i="316"/>
  <c r="E54" i="316"/>
  <c r="E63" i="316"/>
  <c r="E66" i="316"/>
  <c r="E69" i="316"/>
  <c r="E70" i="316"/>
  <c r="E73" i="316"/>
  <c r="E74" i="316"/>
  <c r="E77" i="316"/>
  <c r="E78" i="316"/>
  <c r="E81" i="316"/>
  <c r="E84" i="316"/>
  <c r="E86" i="316"/>
  <c r="E89" i="316"/>
  <c r="E92" i="316"/>
  <c r="E95" i="316"/>
  <c r="E101" i="316"/>
  <c r="E5" i="316"/>
  <c r="D102" i="316"/>
  <c r="D96" i="316"/>
  <c r="D93" i="316"/>
  <c r="D90" i="316"/>
  <c r="D82" i="316"/>
  <c r="D79" i="316"/>
  <c r="D75" i="316"/>
  <c r="D71" i="316"/>
  <c r="D67" i="316"/>
  <c r="D64" i="316"/>
  <c r="D51" i="316"/>
  <c r="D48" i="316"/>
  <c r="D45" i="316"/>
  <c r="D35" i="316"/>
  <c r="D32" i="316"/>
  <c r="D29" i="316"/>
  <c r="D26" i="316"/>
  <c r="D22" i="316"/>
  <c r="D19" i="316"/>
  <c r="D16" i="316"/>
  <c r="D13" i="316"/>
  <c r="C102" i="316"/>
  <c r="C96" i="316"/>
  <c r="C93" i="316"/>
  <c r="C90" i="316"/>
  <c r="C82" i="316"/>
  <c r="C79" i="316"/>
  <c r="C75" i="316"/>
  <c r="C71" i="316"/>
  <c r="C67" i="316"/>
  <c r="C64" i="316"/>
  <c r="C51" i="316"/>
  <c r="C48" i="316"/>
  <c r="C45" i="316"/>
  <c r="C35" i="316"/>
  <c r="C32" i="316"/>
  <c r="C29" i="316"/>
  <c r="C26" i="316"/>
  <c r="C22" i="316"/>
  <c r="C19" i="316"/>
  <c r="C16" i="316"/>
  <c r="C13" i="316"/>
  <c r="D6" i="315"/>
  <c r="D8" i="315"/>
  <c r="D10" i="315"/>
  <c r="D13" i="315"/>
  <c r="D14" i="315"/>
  <c r="D15" i="315"/>
  <c r="D16" i="315"/>
  <c r="D17" i="315"/>
  <c r="D18" i="315"/>
  <c r="D21" i="315"/>
  <c r="D22" i="315"/>
  <c r="D23" i="315"/>
  <c r="D26" i="315"/>
  <c r="D27" i="315"/>
  <c r="D28" i="315"/>
  <c r="D30" i="315"/>
  <c r="D31" i="315"/>
  <c r="D32" i="315"/>
  <c r="D35" i="315"/>
  <c r="D36" i="315"/>
  <c r="D37" i="315"/>
  <c r="D38" i="315"/>
  <c r="D39" i="315"/>
  <c r="D40" i="315"/>
  <c r="D41" i="315"/>
  <c r="D42" i="315"/>
  <c r="D43" i="315"/>
  <c r="D44" i="315"/>
  <c r="D45" i="315"/>
  <c r="D46" i="315"/>
  <c r="D47" i="315"/>
  <c r="D48" i="315"/>
  <c r="D49" i="315"/>
  <c r="D50" i="315"/>
  <c r="D51" i="315"/>
  <c r="D52" i="315"/>
  <c r="D53" i="315"/>
  <c r="D54" i="315"/>
  <c r="D55" i="315"/>
  <c r="D58" i="315"/>
  <c r="D63" i="315"/>
  <c r="D64" i="315"/>
  <c r="D65" i="315"/>
  <c r="D67" i="315"/>
  <c r="D68" i="315"/>
  <c r="D69" i="315"/>
  <c r="D71" i="315"/>
  <c r="D72" i="315"/>
  <c r="D73" i="315"/>
  <c r="D74" i="315"/>
  <c r="D75" i="315"/>
  <c r="D79" i="315"/>
  <c r="D83" i="315"/>
  <c r="G83" i="315" s="1"/>
  <c r="D84" i="315"/>
  <c r="G84" i="315" s="1"/>
  <c r="D85" i="315"/>
  <c r="D86" i="315"/>
  <c r="G86" i="315" s="1"/>
  <c r="D87" i="315"/>
  <c r="G87" i="315" s="1"/>
  <c r="D88" i="315"/>
  <c r="G88" i="315" s="1"/>
  <c r="D89" i="315"/>
  <c r="D90" i="315"/>
  <c r="D91" i="315"/>
  <c r="D92" i="315"/>
  <c r="D93" i="315"/>
  <c r="D94" i="315"/>
  <c r="D98" i="315"/>
  <c r="D4" i="315"/>
  <c r="C80" i="315"/>
  <c r="C99" i="315" s="1"/>
  <c r="C34" i="315"/>
  <c r="C24" i="315"/>
  <c r="C20" i="315"/>
  <c r="C12" i="315"/>
  <c r="B80" i="315"/>
  <c r="B99" i="315" s="1"/>
  <c r="B34" i="315"/>
  <c r="B24" i="315"/>
  <c r="B20" i="315"/>
  <c r="B12" i="315"/>
  <c r="H261" i="318" l="1"/>
  <c r="S164" i="317"/>
  <c r="P78" i="317"/>
  <c r="P164" i="317" s="1"/>
  <c r="B60" i="315"/>
  <c r="B101" i="315" s="1"/>
  <c r="D97" i="315"/>
  <c r="C60" i="315"/>
  <c r="E90" i="316"/>
  <c r="C104" i="316"/>
  <c r="C105" i="316" s="1"/>
  <c r="D104" i="316"/>
  <c r="D105" i="316" s="1"/>
  <c r="D20" i="315"/>
  <c r="E64" i="316"/>
  <c r="E13" i="316"/>
  <c r="E93" i="316"/>
  <c r="E26" i="316"/>
  <c r="E19" i="316"/>
  <c r="E82" i="316"/>
  <c r="H164" i="317"/>
  <c r="H166" i="317" s="1"/>
  <c r="D12" i="315"/>
  <c r="E67" i="316"/>
  <c r="E16" i="316"/>
  <c r="E71" i="316"/>
  <c r="E96" i="316"/>
  <c r="E51" i="316"/>
  <c r="D24" i="315"/>
  <c r="E22" i="316"/>
  <c r="E48" i="316"/>
  <c r="E79" i="316"/>
  <c r="D80" i="315"/>
  <c r="E29" i="316"/>
  <c r="E32" i="316"/>
  <c r="E35" i="316"/>
  <c r="D34" i="315"/>
  <c r="E45" i="316"/>
  <c r="E75" i="316"/>
  <c r="O164" i="317"/>
  <c r="O166" i="317" s="1"/>
  <c r="E102" i="316"/>
  <c r="E55" i="316"/>
  <c r="E261" i="318" l="1"/>
  <c r="E262" i="318" s="1"/>
  <c r="P166" i="317"/>
  <c r="S167" i="317"/>
  <c r="H258" i="318"/>
  <c r="D99" i="315"/>
  <c r="E104" i="316"/>
  <c r="E105" i="316" s="1"/>
  <c r="G106" i="316" s="1"/>
  <c r="C101" i="315"/>
  <c r="D102" i="315" s="1"/>
  <c r="D60" i="315"/>
  <c r="D101" i="315" l="1"/>
  <c r="AE19" i="240"/>
  <c r="F103" i="315" l="1"/>
  <c r="F21" i="260"/>
  <c r="F18" i="260"/>
  <c r="F14" i="260"/>
  <c r="C21" i="260"/>
  <c r="C18" i="260"/>
  <c r="C14" i="260"/>
  <c r="F37" i="261"/>
  <c r="F28" i="261"/>
  <c r="F26" i="261"/>
  <c r="F23" i="261"/>
  <c r="F18" i="261"/>
  <c r="C37" i="261"/>
  <c r="C28" i="261"/>
  <c r="C26" i="261"/>
  <c r="C23" i="261"/>
  <c r="C18" i="261"/>
  <c r="C20" i="261" s="1"/>
  <c r="Q25" i="240"/>
  <c r="P25" i="240"/>
  <c r="O25" i="240"/>
  <c r="Q21" i="240"/>
  <c r="P21" i="240"/>
  <c r="O21" i="240"/>
  <c r="Q18" i="240"/>
  <c r="P18" i="240"/>
  <c r="O18" i="240"/>
  <c r="Q14" i="240"/>
  <c r="P14" i="240"/>
  <c r="O14" i="240"/>
  <c r="Q22" i="240" l="1"/>
  <c r="O22" i="240"/>
  <c r="F20" i="261"/>
  <c r="P22" i="240"/>
  <c r="C33" i="261"/>
  <c r="C38" i="261" s="1"/>
  <c r="F33" i="261"/>
  <c r="F38" i="261" s="1"/>
  <c r="E25" i="240"/>
  <c r="E65" i="239" s="1"/>
  <c r="C25" i="240"/>
  <c r="C65" i="239" s="1"/>
  <c r="AA65" i="239" s="1"/>
  <c r="D25" i="240"/>
  <c r="D65" i="239" s="1"/>
  <c r="E18" i="240"/>
  <c r="D18" i="240"/>
  <c r="C18" i="240"/>
  <c r="E14" i="240"/>
  <c r="D14" i="240"/>
  <c r="C14" i="240"/>
  <c r="Q61" i="239"/>
  <c r="Q64" i="239" s="1"/>
  <c r="P61" i="239"/>
  <c r="P64" i="239" s="1"/>
  <c r="O61" i="239"/>
  <c r="O64" i="239" s="1"/>
  <c r="Q37" i="239"/>
  <c r="P37" i="239"/>
  <c r="O37" i="239"/>
  <c r="Q28" i="239"/>
  <c r="P28" i="239"/>
  <c r="O28" i="239"/>
  <c r="Q26" i="239"/>
  <c r="P26" i="239"/>
  <c r="O26" i="239"/>
  <c r="Q23" i="239"/>
  <c r="P23" i="239"/>
  <c r="O23" i="239"/>
  <c r="Q18" i="239"/>
  <c r="Q20" i="239" s="1"/>
  <c r="P18" i="239"/>
  <c r="P20" i="239" s="1"/>
  <c r="O18" i="239"/>
  <c r="O20" i="239" s="1"/>
  <c r="F63" i="239"/>
  <c r="E61" i="239"/>
  <c r="E64" i="239" s="1"/>
  <c r="F60" i="239"/>
  <c r="D61" i="239"/>
  <c r="D64" i="239" s="1"/>
  <c r="F59" i="239"/>
  <c r="F49" i="239"/>
  <c r="F48" i="239"/>
  <c r="F46" i="239"/>
  <c r="F47" i="239" s="1"/>
  <c r="F43" i="239"/>
  <c r="F42" i="239"/>
  <c r="F40" i="239"/>
  <c r="F39" i="239"/>
  <c r="E37" i="239"/>
  <c r="D37" i="239"/>
  <c r="C37" i="239"/>
  <c r="F36" i="239"/>
  <c r="F35" i="239"/>
  <c r="F34" i="239"/>
  <c r="F30" i="239"/>
  <c r="F32" i="239" s="1"/>
  <c r="F29" i="239"/>
  <c r="E28" i="239"/>
  <c r="D28" i="239"/>
  <c r="C28" i="239"/>
  <c r="F27" i="239"/>
  <c r="F28" i="239" s="1"/>
  <c r="E26" i="239"/>
  <c r="D26" i="239"/>
  <c r="C26" i="239"/>
  <c r="F25" i="239"/>
  <c r="F26" i="239" s="1"/>
  <c r="E23" i="239"/>
  <c r="E51" i="239" s="1"/>
  <c r="D23" i="239"/>
  <c r="D51" i="239" s="1"/>
  <c r="C23" i="239"/>
  <c r="F22" i="239"/>
  <c r="F21" i="239"/>
  <c r="F19" i="239"/>
  <c r="E18" i="239"/>
  <c r="E20" i="239" s="1"/>
  <c r="D18" i="239"/>
  <c r="D20" i="239" s="1"/>
  <c r="C18" i="239"/>
  <c r="C20" i="239" s="1"/>
  <c r="F17" i="239"/>
  <c r="F16" i="239"/>
  <c r="F14" i="239"/>
  <c r="F13" i="239"/>
  <c r="F12" i="239"/>
  <c r="F11" i="239"/>
  <c r="F10" i="239"/>
  <c r="F9" i="239"/>
  <c r="C51" i="239" l="1"/>
  <c r="F23" i="239"/>
  <c r="F51" i="239" s="1"/>
  <c r="O51" i="239"/>
  <c r="Q33" i="239"/>
  <c r="Q38" i="239" s="1"/>
  <c r="P51" i="239"/>
  <c r="C22" i="240"/>
  <c r="F37" i="239"/>
  <c r="C33" i="239"/>
  <c r="C38" i="239" s="1"/>
  <c r="F18" i="239"/>
  <c r="F20" i="239" s="1"/>
  <c r="D33" i="239"/>
  <c r="Q51" i="239"/>
  <c r="O33" i="239"/>
  <c r="O38" i="239" s="1"/>
  <c r="P33" i="239"/>
  <c r="P38" i="239" s="1"/>
  <c r="P50" i="239" s="1"/>
  <c r="F61" i="239"/>
  <c r="F64" i="239" s="1"/>
  <c r="E33" i="239"/>
  <c r="D22" i="240"/>
  <c r="E22" i="240"/>
  <c r="F65" i="239"/>
  <c r="F33" i="239"/>
  <c r="C61" i="239"/>
  <c r="C64" i="239" s="1"/>
  <c r="E36" i="299"/>
  <c r="B36" i="299"/>
  <c r="E19" i="299"/>
  <c r="B19" i="299"/>
  <c r="F38" i="239" l="1"/>
  <c r="P52" i="239"/>
  <c r="E38" i="239"/>
  <c r="E50" i="239" s="1"/>
  <c r="E52" i="239" s="1"/>
  <c r="Q50" i="239"/>
  <c r="Q52" i="239" s="1"/>
  <c r="C50" i="239"/>
  <c r="C52" i="239" s="1"/>
  <c r="O50" i="239"/>
  <c r="O52" i="239" s="1"/>
  <c r="D38" i="239"/>
  <c r="D50" i="239" s="1"/>
  <c r="D52" i="239" s="1"/>
  <c r="F50" i="239"/>
  <c r="F52" i="239" s="1"/>
  <c r="F55" i="239" s="1"/>
  <c r="F58" i="239"/>
  <c r="F19" i="299"/>
  <c r="B44" i="299"/>
  <c r="E44" i="299"/>
  <c r="F36" i="299"/>
  <c r="F44" i="299" l="1"/>
  <c r="H59" i="261" l="1"/>
  <c r="H60" i="261"/>
  <c r="J60" i="261" l="1"/>
  <c r="J59" i="261"/>
  <c r="I60" i="261"/>
  <c r="I59" i="261"/>
  <c r="E60" i="261"/>
  <c r="K60" i="261" s="1"/>
  <c r="E59" i="261"/>
  <c r="K59" i="261" s="1"/>
  <c r="R34" i="239"/>
  <c r="R35" i="239"/>
  <c r="R36" i="239"/>
  <c r="G25" i="240"/>
  <c r="H25" i="240"/>
  <c r="I25" i="240"/>
  <c r="S25" i="240"/>
  <c r="T25" i="240"/>
  <c r="U25" i="240"/>
  <c r="I65" i="239" l="1"/>
  <c r="R24" i="240"/>
  <c r="V24" i="240"/>
  <c r="W24" i="240"/>
  <c r="X24" i="240"/>
  <c r="Y24" i="240"/>
  <c r="AA24" i="240"/>
  <c r="AB24" i="240"/>
  <c r="AC24" i="240"/>
  <c r="AE24" i="240"/>
  <c r="AF24" i="240"/>
  <c r="AG24" i="240"/>
  <c r="K24" i="240"/>
  <c r="L24" i="240"/>
  <c r="M24" i="240"/>
  <c r="H65" i="239"/>
  <c r="G65" i="239"/>
  <c r="F24" i="240"/>
  <c r="J23" i="260"/>
  <c r="J24" i="260"/>
  <c r="I24" i="260"/>
  <c r="I23" i="260"/>
  <c r="D25" i="260"/>
  <c r="D65" i="261" s="1"/>
  <c r="C25" i="260"/>
  <c r="E24" i="260"/>
  <c r="K24" i="260" s="1"/>
  <c r="C15" i="266" s="1"/>
  <c r="AJ24" i="240" l="1"/>
  <c r="AD24" i="240"/>
  <c r="AK24" i="240"/>
  <c r="Z24" i="240"/>
  <c r="N24" i="240"/>
  <c r="AH24" i="240"/>
  <c r="AI24" i="240"/>
  <c r="AL24" i="240" l="1"/>
  <c r="AE9" i="239" l="1"/>
  <c r="AG65" i="239"/>
  <c r="AF65" i="239"/>
  <c r="AE65" i="239"/>
  <c r="AG63" i="239"/>
  <c r="AF63" i="239"/>
  <c r="AE63" i="239"/>
  <c r="AK61" i="239"/>
  <c r="AG61" i="239"/>
  <c r="AF60" i="239"/>
  <c r="AE60" i="239"/>
  <c r="AF59" i="239"/>
  <c r="AE59" i="239"/>
  <c r="AG49" i="239"/>
  <c r="AF49" i="239"/>
  <c r="AE49" i="239"/>
  <c r="AG48" i="239"/>
  <c r="AF48" i="239"/>
  <c r="AE48" i="239"/>
  <c r="AG46" i="239"/>
  <c r="AG47" i="239" s="1"/>
  <c r="AF46" i="239"/>
  <c r="AF47" i="239" s="1"/>
  <c r="AE46" i="239"/>
  <c r="AE47" i="239" s="1"/>
  <c r="AG43" i="239"/>
  <c r="AF43" i="239"/>
  <c r="AE43" i="239"/>
  <c r="AG42" i="239"/>
  <c r="AF42" i="239"/>
  <c r="AE42" i="239"/>
  <c r="AG40" i="239"/>
  <c r="AF40" i="239"/>
  <c r="AE40" i="239"/>
  <c r="AG39" i="239"/>
  <c r="AF39" i="239"/>
  <c r="AE39" i="239"/>
  <c r="AG36" i="239"/>
  <c r="AF36" i="239"/>
  <c r="AE36" i="239"/>
  <c r="AG35" i="239"/>
  <c r="AF35" i="239"/>
  <c r="AE35" i="239"/>
  <c r="AG34" i="239"/>
  <c r="AF34" i="239"/>
  <c r="AE34" i="239"/>
  <c r="AG30" i="239"/>
  <c r="AG32" i="239" s="1"/>
  <c r="AF30" i="239"/>
  <c r="AF32" i="239" s="1"/>
  <c r="AE30" i="239"/>
  <c r="AE32" i="239" s="1"/>
  <c r="AG29" i="239"/>
  <c r="AF29" i="239"/>
  <c r="AE29" i="239"/>
  <c r="AG27" i="239"/>
  <c r="AG28" i="239" s="1"/>
  <c r="AF27" i="239"/>
  <c r="AF28" i="239" s="1"/>
  <c r="AE27" i="239"/>
  <c r="AE28" i="239" s="1"/>
  <c r="AG25" i="239"/>
  <c r="AG26" i="239" s="1"/>
  <c r="AF25" i="239"/>
  <c r="AF26" i="239" s="1"/>
  <c r="AE25" i="239"/>
  <c r="AE26" i="239" s="1"/>
  <c r="AG22" i="239"/>
  <c r="AF22" i="239"/>
  <c r="AE22" i="239"/>
  <c r="AG21" i="239"/>
  <c r="AF21" i="239"/>
  <c r="AE21" i="239"/>
  <c r="AG19" i="239"/>
  <c r="AF19" i="239"/>
  <c r="AE19" i="239"/>
  <c r="AG17" i="239"/>
  <c r="AF17" i="239"/>
  <c r="AE17" i="239"/>
  <c r="AG16" i="239"/>
  <c r="AF16" i="239"/>
  <c r="AE16" i="239"/>
  <c r="AG14" i="239"/>
  <c r="AF14" i="239"/>
  <c r="AE14" i="239"/>
  <c r="AG13" i="239"/>
  <c r="AF13" i="239"/>
  <c r="AE13" i="239"/>
  <c r="AG12" i="239"/>
  <c r="AF12" i="239"/>
  <c r="AE12" i="239"/>
  <c r="AG11" i="239"/>
  <c r="AF11" i="239"/>
  <c r="AE11" i="239"/>
  <c r="AG10" i="239"/>
  <c r="AF10" i="239"/>
  <c r="AE10" i="239"/>
  <c r="AG9" i="239"/>
  <c r="AF9" i="239"/>
  <c r="Y19" i="239"/>
  <c r="X19" i="239"/>
  <c r="W19" i="239"/>
  <c r="Y21" i="239"/>
  <c r="X21" i="239"/>
  <c r="W21" i="239"/>
  <c r="Y22" i="239"/>
  <c r="X22" i="239"/>
  <c r="W22" i="239"/>
  <c r="Y25" i="239"/>
  <c r="Y26" i="239" s="1"/>
  <c r="X25" i="239"/>
  <c r="W25" i="239"/>
  <c r="Y27" i="239"/>
  <c r="Y28" i="239" s="1"/>
  <c r="X27" i="239"/>
  <c r="W27" i="239"/>
  <c r="W28" i="239" s="1"/>
  <c r="Y30" i="239"/>
  <c r="Y32" i="239" s="1"/>
  <c r="X30" i="239"/>
  <c r="X32" i="239" s="1"/>
  <c r="W30" i="239"/>
  <c r="W32" i="239" s="1"/>
  <c r="Y29" i="239"/>
  <c r="X29" i="239"/>
  <c r="W29" i="239"/>
  <c r="Y36" i="239"/>
  <c r="X36" i="239"/>
  <c r="W36" i="239"/>
  <c r="Y35" i="239"/>
  <c r="X35" i="239"/>
  <c r="W35" i="239"/>
  <c r="Y34" i="239"/>
  <c r="X34" i="239"/>
  <c r="W34" i="239"/>
  <c r="Y46" i="239"/>
  <c r="Y47" i="239" s="1"/>
  <c r="X46" i="239"/>
  <c r="X47" i="239" s="1"/>
  <c r="W46" i="239"/>
  <c r="W47" i="239" s="1"/>
  <c r="Y43" i="239"/>
  <c r="X43" i="239"/>
  <c r="W43" i="239"/>
  <c r="Y42" i="239"/>
  <c r="Y40" i="239"/>
  <c r="X40" i="239"/>
  <c r="W40" i="239"/>
  <c r="Y39" i="239"/>
  <c r="X39" i="239"/>
  <c r="W39" i="239"/>
  <c r="Y49" i="239"/>
  <c r="X49" i="239"/>
  <c r="W49" i="239"/>
  <c r="Y48" i="239"/>
  <c r="X48" i="239"/>
  <c r="W48" i="239"/>
  <c r="Y65" i="239"/>
  <c r="X65" i="239"/>
  <c r="W65" i="239"/>
  <c r="Y63" i="239"/>
  <c r="X63" i="239"/>
  <c r="W63" i="239"/>
  <c r="W60" i="239"/>
  <c r="X60" i="239"/>
  <c r="Y60" i="239"/>
  <c r="Y59" i="239"/>
  <c r="X59" i="239"/>
  <c r="W59" i="239"/>
  <c r="V65" i="239"/>
  <c r="V63" i="239"/>
  <c r="S61" i="239"/>
  <c r="S64" i="239" s="1"/>
  <c r="T61" i="239"/>
  <c r="T64" i="239" s="1"/>
  <c r="U61" i="239"/>
  <c r="U64" i="239" s="1"/>
  <c r="V60" i="239"/>
  <c r="V59" i="239"/>
  <c r="V49" i="239"/>
  <c r="V48" i="239"/>
  <c r="V42" i="239"/>
  <c r="V43" i="239"/>
  <c r="V46" i="239"/>
  <c r="V47" i="239" s="1"/>
  <c r="V40" i="239"/>
  <c r="V39" i="239"/>
  <c r="V34" i="239"/>
  <c r="V35" i="239"/>
  <c r="V36" i="239"/>
  <c r="V30" i="239"/>
  <c r="V32" i="239" s="1"/>
  <c r="V29" i="239"/>
  <c r="V27" i="239"/>
  <c r="V28" i="239" s="1"/>
  <c r="V25" i="239"/>
  <c r="V26" i="239" s="1"/>
  <c r="V22" i="239"/>
  <c r="V21" i="239"/>
  <c r="V19" i="239"/>
  <c r="S37" i="239"/>
  <c r="T37" i="239"/>
  <c r="U37" i="239"/>
  <c r="S28" i="239"/>
  <c r="T28" i="239"/>
  <c r="U28" i="239"/>
  <c r="S26" i="239"/>
  <c r="T26" i="239"/>
  <c r="U26" i="239"/>
  <c r="W26" i="239"/>
  <c r="S23" i="239"/>
  <c r="T23" i="239"/>
  <c r="U23" i="239"/>
  <c r="S18" i="239"/>
  <c r="S20" i="239" s="1"/>
  <c r="T18" i="239"/>
  <c r="T20" i="239" s="1"/>
  <c r="U18" i="239"/>
  <c r="U20" i="239" s="1"/>
  <c r="V18" i="239"/>
  <c r="W18" i="239"/>
  <c r="X18" i="239"/>
  <c r="Y18" i="239"/>
  <c r="Z18" i="239"/>
  <c r="M65" i="239"/>
  <c r="L65" i="239"/>
  <c r="K65" i="239"/>
  <c r="M63" i="239"/>
  <c r="L63" i="239"/>
  <c r="K63" i="239"/>
  <c r="M60" i="239"/>
  <c r="L60" i="239"/>
  <c r="K60" i="239"/>
  <c r="M59" i="239"/>
  <c r="L59" i="239"/>
  <c r="K59" i="239"/>
  <c r="M49" i="239"/>
  <c r="L49" i="239"/>
  <c r="K49" i="239"/>
  <c r="M48" i="239"/>
  <c r="L48" i="239"/>
  <c r="K48" i="239"/>
  <c r="M46" i="239"/>
  <c r="M47" i="239" s="1"/>
  <c r="L46" i="239"/>
  <c r="L47" i="239" s="1"/>
  <c r="K46" i="239"/>
  <c r="K47" i="239" s="1"/>
  <c r="M43" i="239"/>
  <c r="L43" i="239"/>
  <c r="K43" i="239"/>
  <c r="M42" i="239"/>
  <c r="L42" i="239"/>
  <c r="K42" i="239"/>
  <c r="M40" i="239"/>
  <c r="L40" i="239"/>
  <c r="K40" i="239"/>
  <c r="M39" i="239"/>
  <c r="L39" i="239"/>
  <c r="K39" i="239"/>
  <c r="M36" i="239"/>
  <c r="L36" i="239"/>
  <c r="K36" i="239"/>
  <c r="M35" i="239"/>
  <c r="L35" i="239"/>
  <c r="K35" i="239"/>
  <c r="M34" i="239"/>
  <c r="L34" i="239"/>
  <c r="K34" i="239"/>
  <c r="M30" i="239"/>
  <c r="M32" i="239" s="1"/>
  <c r="L30" i="239"/>
  <c r="L32" i="239" s="1"/>
  <c r="K30" i="239"/>
  <c r="K32" i="239" s="1"/>
  <c r="M29" i="239"/>
  <c r="L29" i="239"/>
  <c r="K29" i="239"/>
  <c r="M27" i="239"/>
  <c r="L27" i="239"/>
  <c r="K27" i="239"/>
  <c r="M25" i="239"/>
  <c r="L25" i="239"/>
  <c r="K25" i="239"/>
  <c r="AI25" i="239" s="1"/>
  <c r="AI26" i="239" s="1"/>
  <c r="M22" i="239"/>
  <c r="L22" i="239"/>
  <c r="K22" i="239"/>
  <c r="M21" i="239"/>
  <c r="AK21" i="239" s="1"/>
  <c r="L21" i="239"/>
  <c r="K21" i="239"/>
  <c r="M19" i="239"/>
  <c r="L19" i="239"/>
  <c r="K19" i="239"/>
  <c r="K12" i="239"/>
  <c r="L12" i="239"/>
  <c r="AJ12" i="239" s="1"/>
  <c r="M12" i="239"/>
  <c r="AK12" i="239" s="1"/>
  <c r="K13" i="239"/>
  <c r="L13" i="239"/>
  <c r="AJ13" i="239" s="1"/>
  <c r="M13" i="239"/>
  <c r="AK13" i="239" s="1"/>
  <c r="K14" i="239"/>
  <c r="L14" i="239"/>
  <c r="AJ14" i="239" s="1"/>
  <c r="M14" i="239"/>
  <c r="AK14" i="239" s="1"/>
  <c r="K16" i="239"/>
  <c r="L16" i="239"/>
  <c r="AJ16" i="239" s="1"/>
  <c r="M16" i="239"/>
  <c r="AK16" i="239" s="1"/>
  <c r="K17" i="239"/>
  <c r="L17" i="239"/>
  <c r="AJ17" i="239" s="1"/>
  <c r="M17" i="239"/>
  <c r="AK17" i="239" s="1"/>
  <c r="K10" i="239"/>
  <c r="L10" i="239"/>
  <c r="AJ10" i="239" s="1"/>
  <c r="M10" i="239"/>
  <c r="AK10" i="239" s="1"/>
  <c r="K11" i="239"/>
  <c r="AI11" i="239" s="1"/>
  <c r="L11" i="239"/>
  <c r="AJ11" i="239" s="1"/>
  <c r="M11" i="239"/>
  <c r="AK11" i="239" s="1"/>
  <c r="AJ9" i="239"/>
  <c r="AK9" i="239"/>
  <c r="AI9" i="239"/>
  <c r="J65" i="239"/>
  <c r="J63" i="239"/>
  <c r="G61" i="239"/>
  <c r="G64" i="239" s="1"/>
  <c r="H61" i="239"/>
  <c r="H64" i="239" s="1"/>
  <c r="I61" i="239"/>
  <c r="I64" i="239" s="1"/>
  <c r="J60" i="239"/>
  <c r="J59" i="239"/>
  <c r="J49" i="239"/>
  <c r="J48" i="239"/>
  <c r="J42" i="239"/>
  <c r="J43" i="239"/>
  <c r="J46" i="239"/>
  <c r="J47" i="239" s="1"/>
  <c r="J40" i="239"/>
  <c r="J39" i="239"/>
  <c r="J34" i="239"/>
  <c r="J35" i="239"/>
  <c r="J36" i="239"/>
  <c r="J30" i="239"/>
  <c r="J32" i="239" s="1"/>
  <c r="J29" i="239"/>
  <c r="J27" i="239"/>
  <c r="J25" i="239"/>
  <c r="J22" i="239"/>
  <c r="AH22" i="239" s="1"/>
  <c r="J21" i="239"/>
  <c r="J19" i="239"/>
  <c r="J11" i="239"/>
  <c r="J12" i="239"/>
  <c r="AH12" i="239" s="1"/>
  <c r="J13" i="239"/>
  <c r="AH13" i="239" s="1"/>
  <c r="J14" i="239"/>
  <c r="AH14" i="239" s="1"/>
  <c r="J16" i="239"/>
  <c r="AH16" i="239" s="1"/>
  <c r="J17" i="239"/>
  <c r="AH17" i="239" s="1"/>
  <c r="J10" i="239"/>
  <c r="J9" i="239"/>
  <c r="AK65" i="239" l="1"/>
  <c r="AJ22" i="239"/>
  <c r="AK22" i="239"/>
  <c r="U51" i="239"/>
  <c r="AI48" i="239"/>
  <c r="AI46" i="239"/>
  <c r="AI47" i="239" s="1"/>
  <c r="AG64" i="239"/>
  <c r="AH49" i="239"/>
  <c r="AJ21" i="239"/>
  <c r="AJ49" i="239"/>
  <c r="W23" i="239"/>
  <c r="AI60" i="239"/>
  <c r="U33" i="239"/>
  <c r="AI65" i="239"/>
  <c r="T51" i="239"/>
  <c r="W61" i="239"/>
  <c r="W64" i="239" s="1"/>
  <c r="X23" i="239"/>
  <c r="X51" i="239" s="1"/>
  <c r="AI34" i="239"/>
  <c r="AJ65" i="239"/>
  <c r="J61" i="239"/>
  <c r="AJ59" i="239"/>
  <c r="AI22" i="239"/>
  <c r="S51" i="239"/>
  <c r="AH19" i="239"/>
  <c r="AH48" i="239"/>
  <c r="AK46" i="239"/>
  <c r="AK47" i="239" s="1"/>
  <c r="AI49" i="239"/>
  <c r="J64" i="239"/>
  <c r="J58" i="239" s="1"/>
  <c r="Z60" i="239"/>
  <c r="T33" i="239"/>
  <c r="X20" i="239"/>
  <c r="Z25" i="239"/>
  <c r="Z26" i="239" s="1"/>
  <c r="V23" i="239"/>
  <c r="AH60" i="239"/>
  <c r="AF61" i="239"/>
  <c r="AF64" i="239" s="1"/>
  <c r="AH40" i="239"/>
  <c r="V20" i="239"/>
  <c r="V61" i="239"/>
  <c r="V64" i="239" s="1"/>
  <c r="V58" i="239" s="1"/>
  <c r="S33" i="239"/>
  <c r="S38" i="239" s="1"/>
  <c r="AJ40" i="239"/>
  <c r="AK19" i="239"/>
  <c r="AJ46" i="239"/>
  <c r="AJ47" i="239" s="1"/>
  <c r="AK63" i="239"/>
  <c r="AK64" i="239" s="1"/>
  <c r="AK39" i="239"/>
  <c r="Y37" i="239"/>
  <c r="AJ30" i="239"/>
  <c r="AJ32" i="239" s="1"/>
  <c r="AF18" i="239"/>
  <c r="AF20" i="239" s="1"/>
  <c r="AG23" i="239"/>
  <c r="AG51" i="239" s="1"/>
  <c r="AH43" i="239"/>
  <c r="N63" i="239"/>
  <c r="AJ43" i="239"/>
  <c r="W37" i="239"/>
  <c r="AJ29" i="239"/>
  <c r="AE23" i="239"/>
  <c r="AE51" i="239" s="1"/>
  <c r="AJ19" i="239"/>
  <c r="AK43" i="239"/>
  <c r="AJ36" i="239"/>
  <c r="AK29" i="239"/>
  <c r="Z27" i="239"/>
  <c r="Z28" i="239" s="1"/>
  <c r="Z19" i="239"/>
  <c r="Z20" i="239" s="1"/>
  <c r="AJ25" i="239"/>
  <c r="AJ26" i="239" s="1"/>
  <c r="AH65" i="239"/>
  <c r="AK18" i="239"/>
  <c r="N25" i="239"/>
  <c r="N34" i="239"/>
  <c r="AI36" i="239"/>
  <c r="N43" i="239"/>
  <c r="AJ60" i="239"/>
  <c r="AL60" i="239" s="1"/>
  <c r="Z59" i="239"/>
  <c r="Z63" i="239"/>
  <c r="Z65" i="239"/>
  <c r="AK42" i="239"/>
  <c r="AJ35" i="239"/>
  <c r="Z22" i="239"/>
  <c r="Z21" i="239"/>
  <c r="AK25" i="239"/>
  <c r="AK26" i="239" s="1"/>
  <c r="AJ27" i="239"/>
  <c r="AJ28" i="239" s="1"/>
  <c r="AH21" i="239"/>
  <c r="AH46" i="239"/>
  <c r="AH47" i="239" s="1"/>
  <c r="AI21" i="239"/>
  <c r="AI27" i="239"/>
  <c r="AI28" i="239" s="1"/>
  <c r="AJ63" i="239"/>
  <c r="Z49" i="239"/>
  <c r="AK40" i="239"/>
  <c r="Z43" i="239"/>
  <c r="AJ34" i="239"/>
  <c r="AK35" i="239"/>
  <c r="Z29" i="239"/>
  <c r="AK30" i="239"/>
  <c r="AK32" i="239" s="1"/>
  <c r="W20" i="239"/>
  <c r="AG18" i="239"/>
  <c r="AG20" i="239" s="1"/>
  <c r="AK27" i="239"/>
  <c r="AK28" i="239" s="1"/>
  <c r="K61" i="239"/>
  <c r="K64" i="239" s="1"/>
  <c r="AJ48" i="239"/>
  <c r="N48" i="239"/>
  <c r="AI40" i="239"/>
  <c r="AJ39" i="239"/>
  <c r="N30" i="239"/>
  <c r="N32" i="239" s="1"/>
  <c r="N27" i="239"/>
  <c r="N19" i="239"/>
  <c r="AI19" i="239"/>
  <c r="N16" i="239"/>
  <c r="AL16" i="239" s="1"/>
  <c r="AF23" i="239"/>
  <c r="AF51" i="239" s="1"/>
  <c r="AJ18" i="239"/>
  <c r="AK23" i="239"/>
  <c r="AH29" i="239"/>
  <c r="AG33" i="239"/>
  <c r="AH30" i="239"/>
  <c r="AH32" i="239" s="1"/>
  <c r="AF37" i="239"/>
  <c r="AI59" i="239"/>
  <c r="AI63" i="239"/>
  <c r="L61" i="239"/>
  <c r="L64" i="239" s="1"/>
  <c r="N17" i="239"/>
  <c r="AL17" i="239" s="1"/>
  <c r="N12" i="239"/>
  <c r="AL12" i="239" s="1"/>
  <c r="N42" i="239"/>
  <c r="X37" i="239"/>
  <c r="Z48" i="239"/>
  <c r="Z36" i="239"/>
  <c r="AG37" i="239"/>
  <c r="AG38" i="239" s="1"/>
  <c r="AH34" i="239"/>
  <c r="AH36" i="239"/>
  <c r="AI43" i="239"/>
  <c r="AE61" i="239"/>
  <c r="AE64" i="239" s="1"/>
  <c r="N10" i="239"/>
  <c r="N13" i="239"/>
  <c r="AL13" i="239" s="1"/>
  <c r="N29" i="239"/>
  <c r="N36" i="239"/>
  <c r="N40" i="239"/>
  <c r="N59" i="239"/>
  <c r="Z40" i="239"/>
  <c r="Z35" i="239"/>
  <c r="Z30" i="239"/>
  <c r="Z32" i="239" s="1"/>
  <c r="AI10" i="239"/>
  <c r="AL10" i="239" s="1"/>
  <c r="AK34" i="239"/>
  <c r="AI35" i="239"/>
  <c r="AK36" i="239"/>
  <c r="N11" i="239"/>
  <c r="N14" i="239"/>
  <c r="AL14" i="239" s="1"/>
  <c r="N21" i="239"/>
  <c r="N35" i="239"/>
  <c r="N39" i="239"/>
  <c r="N46" i="239"/>
  <c r="N47" i="239" s="1"/>
  <c r="N49" i="239"/>
  <c r="N60" i="239"/>
  <c r="V37" i="239"/>
  <c r="Z39" i="239"/>
  <c r="Z46" i="239"/>
  <c r="Z47" i="239" s="1"/>
  <c r="Z34" i="239"/>
  <c r="AH10" i="239"/>
  <c r="AI12" i="239"/>
  <c r="AI13" i="239"/>
  <c r="AI14" i="239"/>
  <c r="AI16" i="239"/>
  <c r="AI17" i="239"/>
  <c r="AI29" i="239"/>
  <c r="AI30" i="239"/>
  <c r="AI32" i="239" s="1"/>
  <c r="AI39" i="239"/>
  <c r="AK48" i="239"/>
  <c r="AK49" i="239"/>
  <c r="AH59" i="239"/>
  <c r="N65" i="239"/>
  <c r="N22" i="239"/>
  <c r="AH23" i="239"/>
  <c r="AH9" i="239"/>
  <c r="AH11" i="239"/>
  <c r="AH25" i="239"/>
  <c r="AH26" i="239" s="1"/>
  <c r="AH27" i="239"/>
  <c r="AH28" i="239" s="1"/>
  <c r="AE33" i="239"/>
  <c r="AH35" i="239"/>
  <c r="AE37" i="239"/>
  <c r="AH39" i="239"/>
  <c r="AH42" i="239"/>
  <c r="AH63" i="239"/>
  <c r="AF33" i="239"/>
  <c r="AF38" i="239" s="1"/>
  <c r="AE20" i="239"/>
  <c r="AL9" i="239"/>
  <c r="AL11" i="239"/>
  <c r="Y20" i="239"/>
  <c r="Y23" i="239"/>
  <c r="Y51" i="239" s="1"/>
  <c r="X26" i="239"/>
  <c r="X28" i="239"/>
  <c r="W51" i="239"/>
  <c r="Y33" i="239"/>
  <c r="W33" i="239"/>
  <c r="W38" i="239" s="1"/>
  <c r="X61" i="239"/>
  <c r="X64" i="239" s="1"/>
  <c r="Y61" i="239"/>
  <c r="Y64" i="239" s="1"/>
  <c r="V51" i="239"/>
  <c r="V33" i="239"/>
  <c r="N9" i="239"/>
  <c r="M61" i="239"/>
  <c r="M64" i="239" s="1"/>
  <c r="AJ23" i="239" l="1"/>
  <c r="AJ51" i="239" s="1"/>
  <c r="T38" i="239"/>
  <c r="T50" i="239" s="1"/>
  <c r="T52" i="239" s="1"/>
  <c r="V38" i="239"/>
  <c r="V50" i="239" s="1"/>
  <c r="V52" i="239" s="1"/>
  <c r="V55" i="239" s="1"/>
  <c r="U38" i="239"/>
  <c r="U50" i="239" s="1"/>
  <c r="U52" i="239" s="1"/>
  <c r="Y38" i="239"/>
  <c r="Y50" i="239" s="1"/>
  <c r="Y52" i="239" s="1"/>
  <c r="AE38" i="239"/>
  <c r="AE50" i="239" s="1"/>
  <c r="AE52" i="239" s="1"/>
  <c r="AL25" i="239"/>
  <c r="AL26" i="239" s="1"/>
  <c r="AH61" i="239"/>
  <c r="AH64" i="239" s="1"/>
  <c r="AH58" i="239" s="1"/>
  <c r="AL36" i="239"/>
  <c r="AH51" i="239"/>
  <c r="AL21" i="239"/>
  <c r="AL65" i="239"/>
  <c r="AL29" i="239"/>
  <c r="AI23" i="239"/>
  <c r="AI51" i="239" s="1"/>
  <c r="Z23" i="239"/>
  <c r="Z51" i="239" s="1"/>
  <c r="AL22" i="239"/>
  <c r="AJ61" i="239"/>
  <c r="AJ64" i="239" s="1"/>
  <c r="AL43" i="239"/>
  <c r="W50" i="239"/>
  <c r="W52" i="239" s="1"/>
  <c r="AF50" i="239"/>
  <c r="AF52" i="239" s="1"/>
  <c r="AL40" i="239"/>
  <c r="AL63" i="239"/>
  <c r="Z61" i="239"/>
  <c r="Z64" i="239" s="1"/>
  <c r="Z58" i="239" s="1"/>
  <c r="AL34" i="239"/>
  <c r="AL35" i="239"/>
  <c r="AK20" i="239"/>
  <c r="AG50" i="239"/>
  <c r="AG52" i="239" s="1"/>
  <c r="AI20" i="239"/>
  <c r="S50" i="239"/>
  <c r="S52" i="239" s="1"/>
  <c r="AJ33" i="239"/>
  <c r="AL46" i="239"/>
  <c r="AL47" i="239" s="1"/>
  <c r="AJ37" i="239"/>
  <c r="X33" i="239"/>
  <c r="X38" i="239" s="1"/>
  <c r="AL39" i="239"/>
  <c r="AJ20" i="239"/>
  <c r="AL48" i="239"/>
  <c r="AL49" i="239"/>
  <c r="AL19" i="239"/>
  <c r="AL27" i="239"/>
  <c r="AL28" i="239" s="1"/>
  <c r="Z37" i="239"/>
  <c r="AK51" i="239"/>
  <c r="AL30" i="239"/>
  <c r="AL32" i="239" s="1"/>
  <c r="Z33" i="239"/>
  <c r="AI37" i="239"/>
  <c r="AL59" i="239"/>
  <c r="AL61" i="239" s="1"/>
  <c r="AI61" i="239"/>
  <c r="AI64" i="239" s="1"/>
  <c r="AK33" i="239"/>
  <c r="AH33" i="239"/>
  <c r="N61" i="239"/>
  <c r="AK37" i="239"/>
  <c r="AI33" i="239"/>
  <c r="AH37" i="239"/>
  <c r="AH20" i="239"/>
  <c r="AK38" i="239" l="1"/>
  <c r="AH38" i="239"/>
  <c r="AH50" i="239" s="1"/>
  <c r="AH52" i="239" s="1"/>
  <c r="AH55" i="239" s="1"/>
  <c r="AJ38" i="239"/>
  <c r="Z38" i="239"/>
  <c r="Z50" i="239" s="1"/>
  <c r="Z52" i="239" s="1"/>
  <c r="Z55" i="239" s="1"/>
  <c r="AI38" i="239"/>
  <c r="AI50" i="239" s="1"/>
  <c r="AI52" i="239" s="1"/>
  <c r="AL23" i="239"/>
  <c r="AL51" i="239" s="1"/>
  <c r="AL37" i="239"/>
  <c r="AJ50" i="239"/>
  <c r="AJ52" i="239" s="1"/>
  <c r="X50" i="239"/>
  <c r="X52" i="239" s="1"/>
  <c r="AK50" i="239"/>
  <c r="AK52" i="239" s="1"/>
  <c r="AL33" i="239"/>
  <c r="AL20" i="239"/>
  <c r="N64" i="239"/>
  <c r="N58" i="239" s="1"/>
  <c r="AL64" i="239"/>
  <c r="AL58" i="239" s="1"/>
  <c r="G37" i="239"/>
  <c r="H37" i="239"/>
  <c r="I37" i="239"/>
  <c r="J37" i="239"/>
  <c r="K37" i="239"/>
  <c r="L37" i="239"/>
  <c r="M37" i="239"/>
  <c r="N37" i="239"/>
  <c r="G28" i="239"/>
  <c r="G33" i="239" s="1"/>
  <c r="H28" i="239"/>
  <c r="H33" i="239" s="1"/>
  <c r="I28" i="239"/>
  <c r="J28" i="239"/>
  <c r="K28" i="239"/>
  <c r="L28" i="239"/>
  <c r="M28" i="239"/>
  <c r="N28" i="239"/>
  <c r="G26" i="239"/>
  <c r="H26" i="239"/>
  <c r="I26" i="239"/>
  <c r="J26" i="239"/>
  <c r="K26" i="239"/>
  <c r="L26" i="239"/>
  <c r="M26" i="239"/>
  <c r="N26" i="239"/>
  <c r="G23" i="239"/>
  <c r="H23" i="239"/>
  <c r="I23" i="239"/>
  <c r="J23" i="239"/>
  <c r="K23" i="239"/>
  <c r="L23" i="239"/>
  <c r="M23" i="239"/>
  <c r="N23" i="239"/>
  <c r="G20" i="239"/>
  <c r="H18" i="239"/>
  <c r="H20" i="239" s="1"/>
  <c r="I18" i="239"/>
  <c r="I20" i="239" s="1"/>
  <c r="J20" i="239"/>
  <c r="K20" i="239"/>
  <c r="L18" i="239"/>
  <c r="L20" i="239" s="1"/>
  <c r="M18" i="239"/>
  <c r="M20" i="239" s="1"/>
  <c r="N20" i="239"/>
  <c r="H38" i="239" l="1"/>
  <c r="G38" i="239"/>
  <c r="G50" i="239" s="1"/>
  <c r="AL38" i="239"/>
  <c r="AL50" i="239" s="1"/>
  <c r="AL52" i="239" s="1"/>
  <c r="AL55" i="239" s="1"/>
  <c r="H50" i="239"/>
  <c r="H51" i="239"/>
  <c r="M33" i="239"/>
  <c r="I33" i="239"/>
  <c r="I38" i="239" s="1"/>
  <c r="K33" i="239"/>
  <c r="K38" i="239" s="1"/>
  <c r="K51" i="239"/>
  <c r="G51" i="239"/>
  <c r="N51" i="239"/>
  <c r="N33" i="239"/>
  <c r="N38" i="239" s="1"/>
  <c r="J33" i="239"/>
  <c r="J38" i="239" s="1"/>
  <c r="I51" i="239"/>
  <c r="L51" i="239"/>
  <c r="L33" i="239"/>
  <c r="L38" i="239" s="1"/>
  <c r="M51" i="239"/>
  <c r="J51" i="239"/>
  <c r="W9" i="240"/>
  <c r="AH26" i="240"/>
  <c r="AE9" i="240"/>
  <c r="M38" i="239" l="1"/>
  <c r="M50" i="239" s="1"/>
  <c r="M52" i="239" s="1"/>
  <c r="H52" i="239"/>
  <c r="I50" i="239"/>
  <c r="I52" i="239" s="1"/>
  <c r="K50" i="239"/>
  <c r="K52" i="239" s="1"/>
  <c r="J50" i="239"/>
  <c r="J52" i="239" s="1"/>
  <c r="J55" i="239" s="1"/>
  <c r="L50" i="239"/>
  <c r="L52" i="239" s="1"/>
  <c r="N50" i="239"/>
  <c r="N52" i="239" s="1"/>
  <c r="N55" i="239" s="1"/>
  <c r="G52" i="239"/>
  <c r="AG23" i="240"/>
  <c r="AG25" i="240" s="1"/>
  <c r="AF23" i="240"/>
  <c r="AF25" i="240" s="1"/>
  <c r="AE23" i="240"/>
  <c r="AG20" i="240"/>
  <c r="AF20" i="240"/>
  <c r="AE20" i="240"/>
  <c r="AG19" i="240"/>
  <c r="AF19" i="240"/>
  <c r="AG17" i="240"/>
  <c r="AF17" i="240"/>
  <c r="AE17" i="240"/>
  <c r="AG16" i="240"/>
  <c r="AF16" i="240"/>
  <c r="AE16" i="240"/>
  <c r="AG15" i="240"/>
  <c r="AF15" i="240"/>
  <c r="AE15" i="240"/>
  <c r="AG13" i="240"/>
  <c r="AF13" i="240"/>
  <c r="AE13" i="240"/>
  <c r="AG12" i="240"/>
  <c r="AF12" i="240"/>
  <c r="AE12" i="240"/>
  <c r="AG11" i="240"/>
  <c r="AF11" i="240"/>
  <c r="AE11" i="240"/>
  <c r="AG10" i="240"/>
  <c r="AF10" i="240"/>
  <c r="AE10" i="240"/>
  <c r="AG9" i="240"/>
  <c r="AF9" i="240"/>
  <c r="Y23" i="240"/>
  <c r="X23" i="240"/>
  <c r="W23" i="240"/>
  <c r="V23" i="240"/>
  <c r="Y20" i="240"/>
  <c r="X20" i="240"/>
  <c r="W20" i="240"/>
  <c r="Y19" i="240"/>
  <c r="X19" i="240"/>
  <c r="W19" i="240"/>
  <c r="Y17" i="240"/>
  <c r="X17" i="240"/>
  <c r="W17" i="240"/>
  <c r="Y16" i="240"/>
  <c r="X16" i="240"/>
  <c r="W16" i="240"/>
  <c r="Y15" i="240"/>
  <c r="X15" i="240"/>
  <c r="W15" i="240"/>
  <c r="W11" i="240"/>
  <c r="X11" i="240"/>
  <c r="Y11" i="240"/>
  <c r="W12" i="240"/>
  <c r="X12" i="240"/>
  <c r="Y12" i="240"/>
  <c r="W13" i="240"/>
  <c r="X13" i="240"/>
  <c r="Y13" i="240"/>
  <c r="Y10" i="240"/>
  <c r="X10" i="240"/>
  <c r="W10" i="240"/>
  <c r="Y9" i="240"/>
  <c r="X9" i="240"/>
  <c r="V20" i="240"/>
  <c r="V19" i="240"/>
  <c r="V17" i="240"/>
  <c r="V16" i="240"/>
  <c r="V15" i="240"/>
  <c r="V11" i="240"/>
  <c r="V12" i="240"/>
  <c r="V13" i="240"/>
  <c r="V10" i="240"/>
  <c r="V9" i="240"/>
  <c r="Z26" i="240"/>
  <c r="AL26" i="240" s="1"/>
  <c r="S21" i="240"/>
  <c r="T21" i="240"/>
  <c r="U21" i="240"/>
  <c r="S18" i="240"/>
  <c r="T18" i="240"/>
  <c r="U18" i="240"/>
  <c r="S14" i="240"/>
  <c r="T14" i="240"/>
  <c r="U14" i="240"/>
  <c r="M23" i="240"/>
  <c r="L23" i="240"/>
  <c r="K23" i="240"/>
  <c r="J23" i="240"/>
  <c r="M20" i="240"/>
  <c r="L20" i="240"/>
  <c r="K20" i="240"/>
  <c r="M19" i="240"/>
  <c r="L19" i="240"/>
  <c r="K19" i="240"/>
  <c r="M17" i="240"/>
  <c r="L17" i="240"/>
  <c r="K17" i="240"/>
  <c r="M16" i="240"/>
  <c r="L16" i="240"/>
  <c r="K16" i="240"/>
  <c r="M15" i="240"/>
  <c r="L15" i="240"/>
  <c r="K15" i="240"/>
  <c r="K11" i="240"/>
  <c r="L11" i="240"/>
  <c r="M11" i="240"/>
  <c r="K12" i="240"/>
  <c r="L12" i="240"/>
  <c r="M12" i="240"/>
  <c r="K13" i="240"/>
  <c r="L13" i="240"/>
  <c r="M13" i="240"/>
  <c r="L10" i="240"/>
  <c r="M10" i="240"/>
  <c r="M9" i="240"/>
  <c r="L9" i="240"/>
  <c r="K10" i="240"/>
  <c r="K9" i="240"/>
  <c r="AI9" i="240" s="1"/>
  <c r="J20" i="240"/>
  <c r="J19" i="240"/>
  <c r="J16" i="240"/>
  <c r="J17" i="240"/>
  <c r="J15" i="240"/>
  <c r="J11" i="240"/>
  <c r="J12" i="240"/>
  <c r="J13" i="240"/>
  <c r="J10" i="240"/>
  <c r="G21" i="240"/>
  <c r="G18" i="240"/>
  <c r="H18" i="240"/>
  <c r="I18" i="240"/>
  <c r="G14" i="240"/>
  <c r="H14" i="240"/>
  <c r="I14" i="240"/>
  <c r="J9" i="240"/>
  <c r="J21" i="240" l="1"/>
  <c r="X25" i="240"/>
  <c r="V25" i="240"/>
  <c r="X21" i="240"/>
  <c r="W25" i="240"/>
  <c r="Y25" i="240"/>
  <c r="Z20" i="240"/>
  <c r="V21" i="240"/>
  <c r="AI19" i="240"/>
  <c r="U22" i="240"/>
  <c r="J25" i="240"/>
  <c r="AJ17" i="240"/>
  <c r="AJ16" i="240"/>
  <c r="AJ12" i="240"/>
  <c r="AI13" i="240"/>
  <c r="AI11" i="240"/>
  <c r="L25" i="240"/>
  <c r="K21" i="240"/>
  <c r="M21" i="240"/>
  <c r="AH23" i="240"/>
  <c r="I22" i="240"/>
  <c r="AE21" i="240"/>
  <c r="T22" i="240"/>
  <c r="AE18" i="240"/>
  <c r="AK15" i="240"/>
  <c r="Z23" i="240"/>
  <c r="AG18" i="240"/>
  <c r="M25" i="240"/>
  <c r="W21" i="240"/>
  <c r="K25" i="240"/>
  <c r="AG21" i="240"/>
  <c r="AE25" i="240"/>
  <c r="S22" i="240"/>
  <c r="AK16" i="240"/>
  <c r="AJ15" i="240"/>
  <c r="X18" i="240"/>
  <c r="AI16" i="240"/>
  <c r="AI12" i="240"/>
  <c r="W14" i="240"/>
  <c r="N10" i="240"/>
  <c r="AJ23" i="240"/>
  <c r="AI17" i="240"/>
  <c r="N13" i="240"/>
  <c r="AE14" i="240"/>
  <c r="AH13" i="240"/>
  <c r="AJ10" i="240"/>
  <c r="AK11" i="240"/>
  <c r="N11" i="240"/>
  <c r="AJ9" i="240"/>
  <c r="AK10" i="240"/>
  <c r="AK12" i="240"/>
  <c r="AK9" i="240"/>
  <c r="AK13" i="240"/>
  <c r="L21" i="240"/>
  <c r="N12" i="240"/>
  <c r="Z12" i="240"/>
  <c r="W18" i="240"/>
  <c r="Z17" i="240"/>
  <c r="AH16" i="240"/>
  <c r="AK19" i="240"/>
  <c r="AI20" i="240"/>
  <c r="AI23" i="240"/>
  <c r="Z13" i="240"/>
  <c r="Z16" i="240"/>
  <c r="AG14" i="240"/>
  <c r="AF18" i="240"/>
  <c r="AH17" i="240"/>
  <c r="AK17" i="240"/>
  <c r="AF21" i="240"/>
  <c r="AH20" i="240"/>
  <c r="AJ20" i="240"/>
  <c r="AJ13" i="240"/>
  <c r="AK20" i="240"/>
  <c r="AK23" i="240"/>
  <c r="AJ19" i="240"/>
  <c r="N20" i="240"/>
  <c r="N23" i="240"/>
  <c r="Y21" i="240"/>
  <c r="N17" i="240"/>
  <c r="L18" i="240"/>
  <c r="N15" i="240"/>
  <c r="H22" i="240"/>
  <c r="AJ11" i="240"/>
  <c r="AH11" i="240"/>
  <c r="G22" i="240"/>
  <c r="J14" i="240"/>
  <c r="N9" i="240"/>
  <c r="K18" i="240"/>
  <c r="N16" i="240"/>
  <c r="V18" i="240"/>
  <c r="Z15" i="240"/>
  <c r="AI15" i="240"/>
  <c r="Z10" i="240"/>
  <c r="V14" i="240"/>
  <c r="Z11" i="240"/>
  <c r="AF14" i="240"/>
  <c r="AI10" i="240"/>
  <c r="Z9" i="240"/>
  <c r="Y14" i="240"/>
  <c r="AH10" i="240"/>
  <c r="AH12" i="240"/>
  <c r="AH9" i="240"/>
  <c r="AH15" i="240"/>
  <c r="AH19" i="240"/>
  <c r="Z25" i="240"/>
  <c r="Y18" i="240"/>
  <c r="Z19" i="240"/>
  <c r="X14" i="240"/>
  <c r="N19" i="240"/>
  <c r="M18" i="240"/>
  <c r="L14" i="240"/>
  <c r="M14" i="240"/>
  <c r="K14" i="240"/>
  <c r="J18" i="240"/>
  <c r="I48" i="261"/>
  <c r="J42" i="261"/>
  <c r="J43" i="261"/>
  <c r="J46" i="261"/>
  <c r="J47" i="261" s="1"/>
  <c r="J40" i="261"/>
  <c r="I42" i="261"/>
  <c r="I43" i="261"/>
  <c r="I46" i="261"/>
  <c r="I47" i="261" s="1"/>
  <c r="I40" i="261"/>
  <c r="J39" i="261"/>
  <c r="I39" i="261"/>
  <c r="J19" i="261"/>
  <c r="I19" i="261"/>
  <c r="J63" i="261"/>
  <c r="I63" i="261"/>
  <c r="H63" i="261"/>
  <c r="H49" i="261"/>
  <c r="H48" i="261"/>
  <c r="E49" i="261"/>
  <c r="E48" i="261"/>
  <c r="H42" i="261"/>
  <c r="H43" i="261"/>
  <c r="H46" i="261"/>
  <c r="H47" i="261" s="1"/>
  <c r="H40" i="261"/>
  <c r="H39" i="261"/>
  <c r="E42" i="261"/>
  <c r="E43" i="261"/>
  <c r="E46" i="261"/>
  <c r="E47" i="261" s="1"/>
  <c r="E40" i="261"/>
  <c r="E39" i="261"/>
  <c r="H34" i="261"/>
  <c r="H35" i="261"/>
  <c r="H36" i="261"/>
  <c r="E34" i="261"/>
  <c r="E35" i="261"/>
  <c r="E36" i="261"/>
  <c r="E30" i="261"/>
  <c r="E32" i="261" s="1"/>
  <c r="H30" i="261"/>
  <c r="H32" i="261" s="1"/>
  <c r="H29" i="261"/>
  <c r="E29" i="261"/>
  <c r="E27" i="261"/>
  <c r="H27" i="261"/>
  <c r="H28" i="261" s="1"/>
  <c r="H25" i="261"/>
  <c r="H26" i="261" s="1"/>
  <c r="E25" i="261"/>
  <c r="E26" i="261" s="1"/>
  <c r="H22" i="261"/>
  <c r="H21" i="261"/>
  <c r="E22" i="261"/>
  <c r="E21" i="261"/>
  <c r="H19" i="261"/>
  <c r="E19" i="261"/>
  <c r="H11" i="261"/>
  <c r="K11" i="261" s="1"/>
  <c r="H12" i="261"/>
  <c r="K12" i="261" s="1"/>
  <c r="H13" i="261"/>
  <c r="H14" i="261"/>
  <c r="H16" i="261"/>
  <c r="K16" i="261" s="1"/>
  <c r="H17" i="261"/>
  <c r="H10" i="261"/>
  <c r="H9" i="261"/>
  <c r="E13" i="261"/>
  <c r="K13" i="261" s="1"/>
  <c r="E14" i="261"/>
  <c r="E17" i="261"/>
  <c r="E10" i="261"/>
  <c r="E9" i="261"/>
  <c r="H61" i="261"/>
  <c r="G61" i="261"/>
  <c r="G64" i="261" s="1"/>
  <c r="E61" i="261"/>
  <c r="E64" i="261" s="1"/>
  <c r="D61" i="261"/>
  <c r="D64" i="261" s="1"/>
  <c r="D37" i="261"/>
  <c r="G37" i="261"/>
  <c r="D28" i="261"/>
  <c r="G28" i="261"/>
  <c r="D26" i="261"/>
  <c r="G26" i="261"/>
  <c r="D23" i="261"/>
  <c r="F51" i="261"/>
  <c r="G23" i="261"/>
  <c r="D20" i="261"/>
  <c r="G18" i="261"/>
  <c r="G20" i="261" s="1"/>
  <c r="J49" i="261"/>
  <c r="J48" i="261"/>
  <c r="J36" i="261"/>
  <c r="J35" i="261"/>
  <c r="J34" i="261"/>
  <c r="J30" i="261"/>
  <c r="J32" i="261" s="1"/>
  <c r="J29" i="261"/>
  <c r="J27" i="261"/>
  <c r="J28" i="261" s="1"/>
  <c r="J25" i="261"/>
  <c r="J26" i="261" s="1"/>
  <c r="J22" i="261"/>
  <c r="J21" i="261"/>
  <c r="J17" i="261"/>
  <c r="J16" i="261"/>
  <c r="J14" i="261"/>
  <c r="J13" i="261"/>
  <c r="J12" i="261"/>
  <c r="J11" i="261"/>
  <c r="J10" i="261"/>
  <c r="J9" i="261"/>
  <c r="J25" i="260"/>
  <c r="I25" i="260"/>
  <c r="H20" i="260"/>
  <c r="H19" i="260"/>
  <c r="H16" i="260"/>
  <c r="H17" i="260"/>
  <c r="H15" i="260"/>
  <c r="H11" i="260"/>
  <c r="H12" i="260"/>
  <c r="H13" i="260"/>
  <c r="H10" i="260"/>
  <c r="H9" i="260"/>
  <c r="K26" i="260"/>
  <c r="H25" i="260"/>
  <c r="H65" i="261" s="1"/>
  <c r="E23" i="260"/>
  <c r="E20" i="260"/>
  <c r="E19" i="260"/>
  <c r="E17" i="260"/>
  <c r="E16" i="260"/>
  <c r="E15" i="260"/>
  <c r="E10" i="260"/>
  <c r="E11" i="260"/>
  <c r="E12" i="260"/>
  <c r="E13" i="260"/>
  <c r="E9" i="260"/>
  <c r="G25" i="260"/>
  <c r="G65" i="261" s="1"/>
  <c r="G21" i="260"/>
  <c r="D21" i="260"/>
  <c r="G18" i="260"/>
  <c r="D18" i="260"/>
  <c r="G14" i="260"/>
  <c r="D14" i="260"/>
  <c r="J26" i="260"/>
  <c r="J20" i="260"/>
  <c r="J19" i="260"/>
  <c r="J17" i="260"/>
  <c r="J16" i="260"/>
  <c r="J15" i="260"/>
  <c r="J13" i="260"/>
  <c r="J12" i="260"/>
  <c r="J11" i="260"/>
  <c r="J10" i="260"/>
  <c r="J9" i="260"/>
  <c r="H64" i="261" l="1"/>
  <c r="Z21" i="240"/>
  <c r="K10" i="261"/>
  <c r="K63" i="261"/>
  <c r="H58" i="261"/>
  <c r="K14" i="261"/>
  <c r="K35" i="261"/>
  <c r="AG22" i="240"/>
  <c r="AH25" i="240"/>
  <c r="AH21" i="240"/>
  <c r="AI25" i="240"/>
  <c r="AL23" i="240"/>
  <c r="AK25" i="240"/>
  <c r="N25" i="240"/>
  <c r="AI21" i="240"/>
  <c r="N21" i="240"/>
  <c r="AH18" i="240"/>
  <c r="AL9" i="240"/>
  <c r="G58" i="261"/>
  <c r="H23" i="261"/>
  <c r="H51" i="261" s="1"/>
  <c r="K22" i="261"/>
  <c r="AJ18" i="240"/>
  <c r="X22" i="240"/>
  <c r="AL12" i="240"/>
  <c r="AL13" i="240"/>
  <c r="AL15" i="240"/>
  <c r="AJ25" i="240"/>
  <c r="AJ21" i="240"/>
  <c r="D33" i="261"/>
  <c r="G33" i="261"/>
  <c r="G38" i="261" s="1"/>
  <c r="AE22" i="240"/>
  <c r="H21" i="260"/>
  <c r="G51" i="261"/>
  <c r="K27" i="261"/>
  <c r="K28" i="261" s="1"/>
  <c r="AK18" i="240"/>
  <c r="AL16" i="240"/>
  <c r="K9" i="260"/>
  <c r="B6" i="299" s="1"/>
  <c r="E25" i="260"/>
  <c r="E65" i="261" s="1"/>
  <c r="K16" i="260"/>
  <c r="B27" i="299" s="1"/>
  <c r="K12" i="260"/>
  <c r="B9" i="299" s="1"/>
  <c r="D58" i="261"/>
  <c r="J61" i="261"/>
  <c r="J64" i="261" s="1"/>
  <c r="K30" i="261"/>
  <c r="K32" i="261" s="1"/>
  <c r="K40" i="261"/>
  <c r="K61" i="261"/>
  <c r="K64" i="261" s="1"/>
  <c r="D51" i="261"/>
  <c r="K29" i="261"/>
  <c r="K49" i="261"/>
  <c r="E28" i="299" s="1"/>
  <c r="H33" i="261"/>
  <c r="K25" i="261"/>
  <c r="K26" i="261" s="1"/>
  <c r="K34" i="261"/>
  <c r="K48" i="261"/>
  <c r="E9" i="299" s="1"/>
  <c r="K46" i="261"/>
  <c r="K47" i="261" s="1"/>
  <c r="E27" i="299" s="1"/>
  <c r="K43" i="261"/>
  <c r="K42" i="261"/>
  <c r="K39" i="261"/>
  <c r="E8" i="299" s="1"/>
  <c r="K36" i="261"/>
  <c r="E37" i="261"/>
  <c r="E23" i="261"/>
  <c r="E51" i="261" s="1"/>
  <c r="K21" i="261"/>
  <c r="K19" i="261"/>
  <c r="W22" i="240"/>
  <c r="AK14" i="240"/>
  <c r="AL17" i="240"/>
  <c r="Z18" i="240"/>
  <c r="N18" i="240"/>
  <c r="AI18" i="240"/>
  <c r="AL11" i="240"/>
  <c r="AJ14" i="240"/>
  <c r="AL10" i="240"/>
  <c r="AL19" i="240"/>
  <c r="N14" i="240"/>
  <c r="AK21" i="240"/>
  <c r="V22" i="240"/>
  <c r="V56" i="239" s="1"/>
  <c r="V54" i="239" s="1"/>
  <c r="V66" i="239" s="1"/>
  <c r="AF22" i="240"/>
  <c r="AL20" i="240"/>
  <c r="K17" i="261"/>
  <c r="J23" i="261"/>
  <c r="J51" i="261" s="1"/>
  <c r="J33" i="261"/>
  <c r="J37" i="261"/>
  <c r="H18" i="261"/>
  <c r="H20" i="261" s="1"/>
  <c r="H37" i="261"/>
  <c r="H18" i="260"/>
  <c r="G22" i="260"/>
  <c r="G56" i="261" s="1"/>
  <c r="J20" i="261"/>
  <c r="L22" i="240"/>
  <c r="J22" i="240"/>
  <c r="J56" i="239" s="1"/>
  <c r="K22" i="240"/>
  <c r="K20" i="260"/>
  <c r="J21" i="260"/>
  <c r="E21" i="260"/>
  <c r="K17" i="260"/>
  <c r="B28" i="299" s="1"/>
  <c r="E18" i="260"/>
  <c r="K15" i="260"/>
  <c r="B26" i="299" s="1"/>
  <c r="J18" i="260"/>
  <c r="D22" i="260"/>
  <c r="D56" i="261" s="1"/>
  <c r="K13" i="260"/>
  <c r="B10" i="299" s="1"/>
  <c r="E14" i="260"/>
  <c r="J65" i="261"/>
  <c r="AI14" i="240"/>
  <c r="Z14" i="240"/>
  <c r="J14" i="260"/>
  <c r="AH14" i="240"/>
  <c r="Y22" i="240"/>
  <c r="M22" i="240"/>
  <c r="E28" i="261"/>
  <c r="E20" i="261"/>
  <c r="K9" i="261"/>
  <c r="K11" i="260"/>
  <c r="B8" i="299" s="1"/>
  <c r="H14" i="260"/>
  <c r="K10" i="260"/>
  <c r="B7" i="299" s="1"/>
  <c r="K23" i="260"/>
  <c r="C14" i="266" s="1"/>
  <c r="C16" i="266" s="1"/>
  <c r="K19" i="260"/>
  <c r="B30" i="299" l="1"/>
  <c r="H38" i="261"/>
  <c r="J38" i="261"/>
  <c r="J50" i="261" s="1"/>
  <c r="J52" i="261" s="1"/>
  <c r="J55" i="261" s="1"/>
  <c r="D38" i="261"/>
  <c r="C9" i="266"/>
  <c r="H50" i="261"/>
  <c r="H52" i="261" s="1"/>
  <c r="H55" i="261" s="1"/>
  <c r="K23" i="261"/>
  <c r="AL25" i="240"/>
  <c r="AH22" i="240"/>
  <c r="AH56" i="239" s="1"/>
  <c r="AH54" i="239" s="1"/>
  <c r="AH66" i="239" s="1"/>
  <c r="J58" i="261"/>
  <c r="K20" i="261"/>
  <c r="E6" i="299" s="1"/>
  <c r="F50" i="261"/>
  <c r="F52" i="261" s="1"/>
  <c r="F55" i="261" s="1"/>
  <c r="G50" i="261"/>
  <c r="G52" i="261" s="1"/>
  <c r="G55" i="261" s="1"/>
  <c r="G54" i="261" s="1"/>
  <c r="G66" i="261" s="1"/>
  <c r="K33" i="261"/>
  <c r="AJ22" i="240"/>
  <c r="AK22" i="240"/>
  <c r="AL18" i="240"/>
  <c r="N22" i="240"/>
  <c r="AL21" i="240"/>
  <c r="E58" i="261"/>
  <c r="AI22" i="240"/>
  <c r="K25" i="260"/>
  <c r="H22" i="260"/>
  <c r="H56" i="261" s="1"/>
  <c r="E33" i="261"/>
  <c r="E38" i="261" s="1"/>
  <c r="K37" i="261"/>
  <c r="AL14" i="240"/>
  <c r="Z22" i="240"/>
  <c r="Z56" i="239" s="1"/>
  <c r="Z54" i="239" s="1"/>
  <c r="Z66" i="239" s="1"/>
  <c r="K18" i="260"/>
  <c r="J54" i="239"/>
  <c r="J66" i="239" s="1"/>
  <c r="K21" i="260"/>
  <c r="B11" i="299" s="1"/>
  <c r="B12" i="299" s="1"/>
  <c r="E22" i="260"/>
  <c r="J56" i="261"/>
  <c r="J22" i="260"/>
  <c r="K14" i="260"/>
  <c r="E56" i="261" l="1"/>
  <c r="K56" i="261" s="1"/>
  <c r="D50" i="261"/>
  <c r="D52" i="261" s="1"/>
  <c r="D55" i="261" s="1"/>
  <c r="D54" i="261" s="1"/>
  <c r="D66" i="261" s="1"/>
  <c r="K51" i="261"/>
  <c r="E26" i="299"/>
  <c r="E30" i="299" s="1"/>
  <c r="F30" i="299" s="1"/>
  <c r="F38" i="299" s="1"/>
  <c r="B41" i="299"/>
  <c r="K38" i="261"/>
  <c r="E50" i="261"/>
  <c r="E52" i="261" s="1"/>
  <c r="E55" i="261" s="1"/>
  <c r="AL22" i="240"/>
  <c r="AL56" i="239" s="1"/>
  <c r="AL54" i="239" s="1"/>
  <c r="AL66" i="239" s="1"/>
  <c r="H54" i="261"/>
  <c r="H66" i="261" s="1"/>
  <c r="K22" i="260"/>
  <c r="AD26" i="240"/>
  <c r="E54" i="261" l="1"/>
  <c r="E66" i="261" s="1"/>
  <c r="C13" i="266"/>
  <c r="K50" i="261"/>
  <c r="K52" i="261" s="1"/>
  <c r="E7" i="299"/>
  <c r="E12" i="299" s="1"/>
  <c r="X42" i="239"/>
  <c r="AJ42" i="239" s="1"/>
  <c r="W42" i="239"/>
  <c r="K55" i="261" l="1"/>
  <c r="C7" i="266" s="1"/>
  <c r="M52" i="261"/>
  <c r="E41" i="299"/>
  <c r="F41" i="299" s="1"/>
  <c r="F46" i="299" s="1"/>
  <c r="F12" i="299"/>
  <c r="F21" i="299" s="1"/>
  <c r="Z42" i="239"/>
  <c r="AI42" i="239"/>
  <c r="AL42" i="239" s="1"/>
  <c r="I9" i="260"/>
  <c r="F25" i="260" l="1"/>
  <c r="F65" i="261" s="1"/>
  <c r="C65" i="261"/>
  <c r="I26" i="260"/>
  <c r="AC63" i="239"/>
  <c r="AA63" i="239"/>
  <c r="R63" i="239"/>
  <c r="I35" i="261"/>
  <c r="I36" i="261"/>
  <c r="F61" i="261"/>
  <c r="C61" i="261"/>
  <c r="AC23" i="240"/>
  <c r="AB23" i="240"/>
  <c r="AA23" i="240"/>
  <c r="R23" i="240"/>
  <c r="F23" i="240"/>
  <c r="AA35" i="239"/>
  <c r="AB35" i="239"/>
  <c r="AC35" i="239"/>
  <c r="AA36" i="239"/>
  <c r="AB36" i="239"/>
  <c r="AC36" i="239"/>
  <c r="AC65" i="239"/>
  <c r="AB65" i="239"/>
  <c r="R65" i="239"/>
  <c r="AB63" i="239"/>
  <c r="AC61" i="239"/>
  <c r="AB60" i="239"/>
  <c r="AA60" i="239"/>
  <c r="R60" i="239"/>
  <c r="AB59" i="239"/>
  <c r="AA59" i="239"/>
  <c r="R59" i="239"/>
  <c r="R21" i="239"/>
  <c r="R22" i="239"/>
  <c r="AD22" i="239" s="1"/>
  <c r="I22" i="261"/>
  <c r="AA22" i="239"/>
  <c r="AB22" i="239"/>
  <c r="AC22" i="239"/>
  <c r="AC19" i="239"/>
  <c r="AB19" i="239"/>
  <c r="AA19" i="239"/>
  <c r="R49" i="239"/>
  <c r="R46" i="239"/>
  <c r="R47" i="239" s="1"/>
  <c r="R42" i="239"/>
  <c r="R43" i="239"/>
  <c r="R40" i="239"/>
  <c r="R39" i="239"/>
  <c r="R37" i="239"/>
  <c r="AC43" i="239"/>
  <c r="AB43" i="239"/>
  <c r="AA43" i="239"/>
  <c r="AC42" i="239"/>
  <c r="AB42" i="239"/>
  <c r="AA42" i="239"/>
  <c r="AC40" i="239"/>
  <c r="AB40" i="239"/>
  <c r="AA40" i="239"/>
  <c r="AC39" i="239"/>
  <c r="AB39" i="239"/>
  <c r="AA39" i="239"/>
  <c r="I10" i="260"/>
  <c r="I15" i="260"/>
  <c r="I49" i="261"/>
  <c r="I34" i="261"/>
  <c r="I30" i="261"/>
  <c r="I32" i="261" s="1"/>
  <c r="I29" i="261"/>
  <c r="I27" i="261"/>
  <c r="I28" i="261" s="1"/>
  <c r="I25" i="261"/>
  <c r="I26" i="261" s="1"/>
  <c r="I21" i="261"/>
  <c r="I17" i="261"/>
  <c r="I16" i="261"/>
  <c r="I14" i="261"/>
  <c r="I13" i="261"/>
  <c r="I12" i="261"/>
  <c r="I11" i="261"/>
  <c r="I10" i="261"/>
  <c r="I9" i="261"/>
  <c r="R18" i="239"/>
  <c r="I20" i="260"/>
  <c r="I19" i="260"/>
  <c r="I17" i="260"/>
  <c r="I16" i="260"/>
  <c r="I13" i="260"/>
  <c r="I12" i="260"/>
  <c r="AC30" i="239"/>
  <c r="AC32" i="239" s="1"/>
  <c r="AB30" i="239"/>
  <c r="AB32" i="239" s="1"/>
  <c r="AA30" i="239"/>
  <c r="AA32" i="239" s="1"/>
  <c r="R30" i="239"/>
  <c r="R32" i="239" s="1"/>
  <c r="AA48" i="239"/>
  <c r="R48" i="239"/>
  <c r="AC11" i="240"/>
  <c r="AC10" i="240"/>
  <c r="F9" i="240"/>
  <c r="AA9" i="240"/>
  <c r="AC9" i="240"/>
  <c r="F10" i="240"/>
  <c r="AA10" i="240"/>
  <c r="AB10" i="240"/>
  <c r="F11" i="240"/>
  <c r="R11" i="240"/>
  <c r="AB11" i="240"/>
  <c r="F13" i="240"/>
  <c r="R13" i="240"/>
  <c r="AA13" i="240"/>
  <c r="AB13" i="240"/>
  <c r="AC13" i="240"/>
  <c r="F12" i="240"/>
  <c r="R12" i="240"/>
  <c r="AA12" i="240"/>
  <c r="AB12" i="240"/>
  <c r="AC12" i="240"/>
  <c r="F15" i="240"/>
  <c r="R15" i="240"/>
  <c r="AA15" i="240"/>
  <c r="AB15" i="240"/>
  <c r="AC15" i="240"/>
  <c r="F16" i="240"/>
  <c r="R16" i="240"/>
  <c r="AA16" i="240"/>
  <c r="AB16" i="240"/>
  <c r="AC16" i="240"/>
  <c r="F17" i="240"/>
  <c r="R17" i="240"/>
  <c r="AA17" i="240"/>
  <c r="AB17" i="240"/>
  <c r="AC17" i="240"/>
  <c r="F19" i="240"/>
  <c r="R19" i="240"/>
  <c r="AA19" i="240"/>
  <c r="AB19" i="240"/>
  <c r="AC19" i="240"/>
  <c r="F20" i="240"/>
  <c r="R20" i="240"/>
  <c r="AA20" i="240"/>
  <c r="AB20" i="240"/>
  <c r="AC20" i="240"/>
  <c r="R27" i="239"/>
  <c r="R28" i="239" s="1"/>
  <c r="AA27" i="239"/>
  <c r="AA28" i="239" s="1"/>
  <c r="AB27" i="239"/>
  <c r="AB28" i="239" s="1"/>
  <c r="AC27" i="239"/>
  <c r="AC28" i="239" s="1"/>
  <c r="R25" i="239"/>
  <c r="R26" i="239" s="1"/>
  <c r="AA25" i="239"/>
  <c r="AA26" i="239" s="1"/>
  <c r="AB25" i="239"/>
  <c r="AB26" i="239" s="1"/>
  <c r="AC25" i="239"/>
  <c r="AC26" i="239" s="1"/>
  <c r="AA34" i="239"/>
  <c r="AB34" i="239"/>
  <c r="AC34" i="239"/>
  <c r="AA29" i="239"/>
  <c r="AB29" i="239"/>
  <c r="AC29" i="239"/>
  <c r="AA9" i="239"/>
  <c r="AB9" i="239"/>
  <c r="AC9" i="239"/>
  <c r="AA10" i="239"/>
  <c r="AB10" i="239"/>
  <c r="AC10" i="239"/>
  <c r="AB11" i="239"/>
  <c r="AC11" i="239"/>
  <c r="AD12" i="239"/>
  <c r="AA12" i="239"/>
  <c r="AB12" i="239"/>
  <c r="AC12" i="239"/>
  <c r="AD13" i="239"/>
  <c r="AA13" i="239"/>
  <c r="AB13" i="239"/>
  <c r="AC13" i="239"/>
  <c r="AD14" i="239"/>
  <c r="AA14" i="239"/>
  <c r="AB14" i="239"/>
  <c r="AC14" i="239"/>
  <c r="AD16" i="239"/>
  <c r="AA16" i="239"/>
  <c r="AB16" i="239"/>
  <c r="AC16" i="239"/>
  <c r="AD17" i="239"/>
  <c r="AA17" i="239"/>
  <c r="AB17" i="239"/>
  <c r="AC17" i="239"/>
  <c r="AC48" i="239"/>
  <c r="AA46" i="239"/>
  <c r="AA47" i="239" s="1"/>
  <c r="AB46" i="239"/>
  <c r="AB47" i="239" s="1"/>
  <c r="AC46" i="239"/>
  <c r="AC47" i="239" s="1"/>
  <c r="AA21" i="239"/>
  <c r="AB21" i="239"/>
  <c r="AC21" i="239"/>
  <c r="AA49" i="239"/>
  <c r="AB49" i="239"/>
  <c r="AC49" i="239"/>
  <c r="AB48" i="239"/>
  <c r="AA11" i="239"/>
  <c r="R9" i="240"/>
  <c r="AA11" i="240"/>
  <c r="AB9" i="240"/>
  <c r="R10" i="240"/>
  <c r="I11" i="260"/>
  <c r="AC23" i="239" l="1"/>
  <c r="AC51" i="239" s="1"/>
  <c r="R61" i="239"/>
  <c r="R64" i="239" s="1"/>
  <c r="R58" i="239" s="1"/>
  <c r="R25" i="240"/>
  <c r="AA21" i="240"/>
  <c r="I23" i="261"/>
  <c r="I51" i="261" s="1"/>
  <c r="AC64" i="239"/>
  <c r="I61" i="261"/>
  <c r="AB25" i="240"/>
  <c r="R33" i="239"/>
  <c r="R38" i="239" s="1"/>
  <c r="R21" i="240"/>
  <c r="AA25" i="240"/>
  <c r="AD19" i="240"/>
  <c r="I21" i="260"/>
  <c r="F25" i="240"/>
  <c r="AC25" i="240"/>
  <c r="F58" i="261"/>
  <c r="F22" i="260"/>
  <c r="F56" i="261" s="1"/>
  <c r="F54" i="261" s="1"/>
  <c r="C58" i="261"/>
  <c r="C51" i="261"/>
  <c r="I33" i="261"/>
  <c r="I18" i="261"/>
  <c r="I20" i="261" s="1"/>
  <c r="R18" i="240"/>
  <c r="AD23" i="240"/>
  <c r="AB61" i="239"/>
  <c r="AB64" i="239" s="1"/>
  <c r="R23" i="239"/>
  <c r="R51" i="239" s="1"/>
  <c r="AD60" i="239"/>
  <c r="AA61" i="239"/>
  <c r="AA64" i="239" s="1"/>
  <c r="AC18" i="239"/>
  <c r="AC20" i="239" s="1"/>
  <c r="K65" i="261"/>
  <c r="K58" i="261" s="1"/>
  <c r="I65" i="261"/>
  <c r="AD29" i="239"/>
  <c r="AD30" i="239"/>
  <c r="AD32" i="239" s="1"/>
  <c r="AD34" i="239"/>
  <c r="AD35" i="239"/>
  <c r="AC18" i="240"/>
  <c r="K54" i="261"/>
  <c r="J54" i="261"/>
  <c r="J66" i="261" s="1"/>
  <c r="F21" i="240"/>
  <c r="AD20" i="240"/>
  <c r="I14" i="260"/>
  <c r="R14" i="240"/>
  <c r="I18" i="260"/>
  <c r="AD27" i="239"/>
  <c r="AD28" i="239" s="1"/>
  <c r="I37" i="261"/>
  <c r="AD9" i="239"/>
  <c r="AD65" i="239"/>
  <c r="AD49" i="239"/>
  <c r="AD39" i="239"/>
  <c r="R20" i="239"/>
  <c r="AC37" i="239"/>
  <c r="AB23" i="239"/>
  <c r="AB51" i="239" s="1"/>
  <c r="AB33" i="239"/>
  <c r="AD25" i="239"/>
  <c r="AD26" i="239" s="1"/>
  <c r="AB37" i="239"/>
  <c r="AD42" i="239"/>
  <c r="AD36" i="239"/>
  <c r="AD63" i="239"/>
  <c r="AD59" i="239"/>
  <c r="AD48" i="239"/>
  <c r="AD40" i="239"/>
  <c r="AD43" i="239"/>
  <c r="AA23" i="239"/>
  <c r="AA51" i="239" s="1"/>
  <c r="AD19" i="239"/>
  <c r="AB18" i="239"/>
  <c r="AB20" i="239" s="1"/>
  <c r="AA18" i="239"/>
  <c r="AA20" i="239" s="1"/>
  <c r="C22" i="260"/>
  <c r="C56" i="261" s="1"/>
  <c r="AD15" i="240"/>
  <c r="AB18" i="240"/>
  <c r="AD11" i="240"/>
  <c r="AD12" i="240"/>
  <c r="AD10" i="240"/>
  <c r="AB21" i="240"/>
  <c r="AD17" i="240"/>
  <c r="F18" i="240"/>
  <c r="AB14" i="240"/>
  <c r="AA14" i="240"/>
  <c r="AA33" i="239"/>
  <c r="AD9" i="240"/>
  <c r="AD11" i="239"/>
  <c r="AC33" i="239"/>
  <c r="AA37" i="239"/>
  <c r="AD13" i="240"/>
  <c r="AA18" i="240"/>
  <c r="AD46" i="239"/>
  <c r="AD47" i="239" s="1"/>
  <c r="AD21" i="239"/>
  <c r="AD23" i="239" s="1"/>
  <c r="AD10" i="239"/>
  <c r="AC21" i="240"/>
  <c r="AD16" i="240"/>
  <c r="F14" i="240"/>
  <c r="AC14" i="240"/>
  <c r="I38" i="261" l="1"/>
  <c r="I50" i="261" s="1"/>
  <c r="I52" i="261" s="1"/>
  <c r="AC38" i="239"/>
  <c r="AA38" i="239"/>
  <c r="AA50" i="239" s="1"/>
  <c r="AA52" i="239" s="1"/>
  <c r="AB38" i="239"/>
  <c r="AB50" i="239" s="1"/>
  <c r="AB52" i="239" s="1"/>
  <c r="I56" i="261"/>
  <c r="AD61" i="239"/>
  <c r="AD64" i="239" s="1"/>
  <c r="AD58" i="239" s="1"/>
  <c r="C50" i="261"/>
  <c r="C52" i="261" s="1"/>
  <c r="C55" i="261" s="1"/>
  <c r="C54" i="261" s="1"/>
  <c r="C66" i="261" s="1"/>
  <c r="R22" i="240"/>
  <c r="R56" i="239" s="1"/>
  <c r="AD25" i="240"/>
  <c r="AD21" i="240"/>
  <c r="F66" i="261"/>
  <c r="I58" i="261"/>
  <c r="K66" i="261"/>
  <c r="C8" i="266"/>
  <c r="AD33" i="239"/>
  <c r="AC50" i="239"/>
  <c r="AC52" i="239" s="1"/>
  <c r="AD18" i="239"/>
  <c r="AD20" i="239" s="1"/>
  <c r="F22" i="240"/>
  <c r="I22" i="260"/>
  <c r="R50" i="239"/>
  <c r="R52" i="239" s="1"/>
  <c r="R55" i="239" s="1"/>
  <c r="AD37" i="239"/>
  <c r="AB22" i="240"/>
  <c r="AD18" i="240"/>
  <c r="AA22" i="240"/>
  <c r="AC22" i="240"/>
  <c r="AD14" i="240"/>
  <c r="AD51" i="239"/>
  <c r="C11" i="266" l="1"/>
  <c r="C19" i="266" s="1"/>
  <c r="AD38" i="239"/>
  <c r="AD50" i="239" s="1"/>
  <c r="AD52" i="239" s="1"/>
  <c r="AD55" i="239" s="1"/>
  <c r="F56" i="239"/>
  <c r="F54" i="239" s="1"/>
  <c r="F66" i="239" s="1"/>
  <c r="R54" i="239"/>
  <c r="R66" i="239" s="1"/>
  <c r="I55" i="261"/>
  <c r="I54" i="261" s="1"/>
  <c r="I66" i="261" s="1"/>
  <c r="C18" i="266"/>
  <c r="AD22" i="240"/>
  <c r="AD56" i="239" s="1"/>
  <c r="C20" i="266" l="1"/>
  <c r="N56" i="239"/>
  <c r="N54" i="239" s="1"/>
  <c r="N66" i="239" s="1"/>
  <c r="AD54" i="239"/>
  <c r="AD66" i="239" s="1"/>
  <c r="O18" i="3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Windows-felhasználó</author>
  </authors>
  <commentList>
    <comment ref="G34" authorId="0" shapeId="0" xr:uid="{473C0AAE-7FEB-4512-9828-059EE45D2944}">
      <text>
        <r>
          <rPr>
            <b/>
            <sz val="9"/>
            <color indexed="81"/>
            <rFont val="Tahoma"/>
            <family val="2"/>
            <charset val="238"/>
          </rPr>
          <t>Windows-felhasználó:</t>
        </r>
        <r>
          <rPr>
            <sz val="9"/>
            <color indexed="81"/>
            <rFont val="Tahoma"/>
            <family val="2"/>
            <charset val="238"/>
          </rPr>
          <t xml:space="preserve">
támogatói d. mgé nincs 12.08.
</t>
        </r>
      </text>
    </comment>
    <comment ref="W42" authorId="0" shapeId="0" xr:uid="{3FD70F9C-9382-49F7-AEE1-996A3B65C032}">
      <text>
        <r>
          <rPr>
            <b/>
            <sz val="9"/>
            <color indexed="81"/>
            <rFont val="Tahoma"/>
            <family val="2"/>
            <charset val="238"/>
          </rPr>
          <t>Windows-felhasználó:</t>
        </r>
        <r>
          <rPr>
            <sz val="9"/>
            <color indexed="81"/>
            <rFont val="Tahoma"/>
            <family val="2"/>
            <charset val="238"/>
          </rPr>
          <t xml:space="preserve">
még jött bevétel 2020-ban
</t>
        </r>
      </text>
    </comment>
  </commentList>
</comments>
</file>

<file path=xl/sharedStrings.xml><?xml version="1.0" encoding="utf-8"?>
<sst xmlns="http://schemas.openxmlformats.org/spreadsheetml/2006/main" count="3099" uniqueCount="1313">
  <si>
    <t>10.</t>
  </si>
  <si>
    <t>11.</t>
  </si>
  <si>
    <t>12.</t>
  </si>
  <si>
    <t>13.</t>
  </si>
  <si>
    <t>14.</t>
  </si>
  <si>
    <t>15.</t>
  </si>
  <si>
    <t>16.</t>
  </si>
  <si>
    <t>17.</t>
  </si>
  <si>
    <t>18.</t>
  </si>
  <si>
    <t>19.</t>
  </si>
  <si>
    <t>20.</t>
  </si>
  <si>
    <t>21.</t>
  </si>
  <si>
    <t>22.</t>
  </si>
  <si>
    <t>23.</t>
  </si>
  <si>
    <t>24.</t>
  </si>
  <si>
    <t>25.</t>
  </si>
  <si>
    <t>26.</t>
  </si>
  <si>
    <t>27.</t>
  </si>
  <si>
    <t>28.</t>
  </si>
  <si>
    <t>29.</t>
  </si>
  <si>
    <t>30.</t>
  </si>
  <si>
    <t>31.</t>
  </si>
  <si>
    <t>Székesfehérvár Megyei Jogú Város Önkormányzat</t>
  </si>
  <si>
    <t>Költségvetési szervek összesen</t>
  </si>
  <si>
    <t>Eredeti előirányzat</t>
  </si>
  <si>
    <t>~ ebből: Szent István Király Múzeum támogatása</t>
  </si>
  <si>
    <t xml:space="preserve">              Vörösmarty Mihály Megyei Könyvtár és a városi könyvtár támogatása</t>
  </si>
  <si>
    <t xml:space="preserve">              Vörösmarty Színház támogatása</t>
  </si>
  <si>
    <t>1, Személyi juttatás</t>
  </si>
  <si>
    <t>2, Munkaadókat terhelő járulékok és szociális hozzájárulási adó</t>
  </si>
  <si>
    <t>3, Dologi kiadás</t>
  </si>
  <si>
    <t>Személyi juttatás</t>
  </si>
  <si>
    <t>Munkaadókat terhelő járulékok és szociális hozzájárulási adó</t>
  </si>
  <si>
    <t>Dologi kiadás</t>
  </si>
  <si>
    <t>g.=b. +…+ f.</t>
  </si>
  <si>
    <t>h.</t>
  </si>
  <si>
    <t>i.</t>
  </si>
  <si>
    <t>j.</t>
  </si>
  <si>
    <t>k.=h. +i.+ j.</t>
  </si>
  <si>
    <t>l.</t>
  </si>
  <si>
    <t>m.</t>
  </si>
  <si>
    <t xml:space="preserve">III. </t>
  </si>
  <si>
    <t>Városfejlesztés</t>
  </si>
  <si>
    <t>Humán Szolgáltatás</t>
  </si>
  <si>
    <t>A.</t>
  </si>
  <si>
    <t>Kiadások összesen (I-VIII.)</t>
  </si>
  <si>
    <t>Céltartalék összesen</t>
  </si>
  <si>
    <t>IX.</t>
  </si>
  <si>
    <t>Tartalékok összesen</t>
  </si>
  <si>
    <t>C.</t>
  </si>
  <si>
    <t>KIADÁSOK MINDÖSSZESEN (I-IX.)</t>
  </si>
  <si>
    <t xml:space="preserve">             Alba Regia Sport Club - Ingatlan üzemeltetésével összefüggő költségekhez</t>
  </si>
  <si>
    <t>Beruházások</t>
  </si>
  <si>
    <t>MEGNEVEZÉS</t>
  </si>
  <si>
    <t>Működési bevételek</t>
  </si>
  <si>
    <t>Személyi juttatások</t>
  </si>
  <si>
    <t>Közhatalmi bevételek</t>
  </si>
  <si>
    <t>Dologi kiadások</t>
  </si>
  <si>
    <t>Tartalékok</t>
  </si>
  <si>
    <t>Felhalmozási bevételek</t>
  </si>
  <si>
    <t>Felújítások</t>
  </si>
  <si>
    <t>Költségvetési bevételek-kiadások egyenlege</t>
  </si>
  <si>
    <t>Költségvetési kiadások összesen:</t>
  </si>
  <si>
    <t>Költségvetési bevételek összesen:</t>
  </si>
  <si>
    <t>VAGYONGAZDÁLKODÁS</t>
  </si>
  <si>
    <t>VÁROS- ÉS KÖZSÉGGAZDÁLKODÁS</t>
  </si>
  <si>
    <t>HUMÁN SZOLGÁLTATÁS</t>
  </si>
  <si>
    <t xml:space="preserve">             Alba Regia Atlétikai Klub</t>
  </si>
  <si>
    <t>NEMZETISÉGI ÖNKORMÁNYZATOK</t>
  </si>
  <si>
    <t>Társadalmi Felelősségvállalási Alap</t>
  </si>
  <si>
    <t>Céltartalék</t>
  </si>
  <si>
    <t>Önkormányzat mindösszesen</t>
  </si>
  <si>
    <t xml:space="preserve">           Fehérvári Kézművesek Egyesülete</t>
  </si>
  <si>
    <t xml:space="preserve">           Székesfehérvári Művészek Társasága</t>
  </si>
  <si>
    <t>Általános tartalék</t>
  </si>
  <si>
    <t>Kiadások összesen</t>
  </si>
  <si>
    <t>I.</t>
  </si>
  <si>
    <t>Pénzügyi igazgatási feladatok</t>
  </si>
  <si>
    <t>Különféle adók, díjak, pénzügyi kiadások</t>
  </si>
  <si>
    <t>Közösségi, társadalmi és információs tevékenység</t>
  </si>
  <si>
    <t>Társadalmi kapcsolatok kiadásai</t>
  </si>
  <si>
    <t>Személyügyi kiadások</t>
  </si>
  <si>
    <t>Informatikai terület</t>
  </si>
  <si>
    <t>Szociális ellátási és gyermekvédelmi feladatok</t>
  </si>
  <si>
    <t>Fejlesztési, felhalmozási ráfordítások</t>
  </si>
  <si>
    <t>IV.</t>
  </si>
  <si>
    <t>Lakás-, vagyongazdálkodási kiadások</t>
  </si>
  <si>
    <t>V.</t>
  </si>
  <si>
    <t>Székesfehérvár Városgondnoksága Kft.</t>
  </si>
  <si>
    <t>Főépítészi kiadások</t>
  </si>
  <si>
    <t>Környezetvédelmi kiadások</t>
  </si>
  <si>
    <t>VI.</t>
  </si>
  <si>
    <t>Közoktatási feladatok</t>
  </si>
  <si>
    <t>Szociális intézményi és egészségügyi feladatok</t>
  </si>
  <si>
    <t>Közművelődési kiadások</t>
  </si>
  <si>
    <t>Diáksport és szabadidős tevékenység</t>
  </si>
  <si>
    <t>VII.</t>
  </si>
  <si>
    <t>VIII.</t>
  </si>
  <si>
    <t>Polgármesteri keret</t>
  </si>
  <si>
    <t>Képviselői Alap</t>
  </si>
  <si>
    <t xml:space="preserve">             Egyéb sportszakosztályi támogatások</t>
  </si>
  <si>
    <t xml:space="preserve">              Kegyeleti rendelet végrehajtása</t>
  </si>
  <si>
    <t xml:space="preserve">              Rászorulókat segítő karácsonyi programok és támogatások</t>
  </si>
  <si>
    <t>Nemzetközi kapcsolatok és reprezentáció</t>
  </si>
  <si>
    <t>~ ebből: Önkormányzati Informatikai Központ Nonprofit Kft.</t>
  </si>
  <si>
    <t>Rendvédelmi, közbiztonsági feladatok, védelmi felkészítés</t>
  </si>
  <si>
    <t>II.</t>
  </si>
  <si>
    <t>HATÓSÁGI TEVÉKENYSÉG</t>
  </si>
  <si>
    <t>III.</t>
  </si>
  <si>
    <t>IGAZGATÁSI TEVÉKENYSÉG</t>
  </si>
  <si>
    <t>Közbeszerzési és egyéb jogi eljárásokkal kapcsolatos kiadások</t>
  </si>
  <si>
    <t xml:space="preserve">             Köfém Sport Club Női Kézilabda Szakosztály</t>
  </si>
  <si>
    <t xml:space="preserve">           KÖFÉM Oktatási és Közművelődési Központ Nonprofit Közhasznú Kft.</t>
  </si>
  <si>
    <t>Környezetvédelmi Alap</t>
  </si>
  <si>
    <t>~ ebből: Nemzetközi kapcsolatok</t>
  </si>
  <si>
    <t xml:space="preserve">              Reprezentáció</t>
  </si>
  <si>
    <t xml:space="preserve">              Határon túli magyar kapcsolatok</t>
  </si>
  <si>
    <t xml:space="preserve">              Székesfehérvári Csemete Alapítvány támogatása - bölcsődei ellátás</t>
  </si>
  <si>
    <t xml:space="preserve">           Székesfehérvári Egyházmegye</t>
  </si>
  <si>
    <t xml:space="preserve"> - Kulturális feladatok</t>
  </si>
  <si>
    <t xml:space="preserve">  - Közművelődési megállapodások, támogatások</t>
  </si>
  <si>
    <t xml:space="preserve">           Vörösmarty Társaság</t>
  </si>
  <si>
    <t>~ ebből: Diáksportkör kiadásai</t>
  </si>
  <si>
    <t xml:space="preserve">              Sportcélok és feladatok</t>
  </si>
  <si>
    <t>~ ebből: Nyugdíjazással kapcsolatos kifizetések</t>
  </si>
  <si>
    <t xml:space="preserve">              Székesfehérvári Református Egyházközség támogatása - Olajfa Református Óvoda</t>
  </si>
  <si>
    <t>Tagdíjak, testületek</t>
  </si>
  <si>
    <t xml:space="preserve">           Alba Regia Vegyeskar Egyesület</t>
  </si>
  <si>
    <t xml:space="preserve">           Székesfehérvári "Bakony" Népzenei Együttes Egyesület</t>
  </si>
  <si>
    <t xml:space="preserve">           Székesfehérvári Ifjúsági Fúvószenekar Egyesület</t>
  </si>
  <si>
    <t xml:space="preserve">           "Aranybulla" Könyvtár Alapítvány</t>
  </si>
  <si>
    <t>Kötelező feladat</t>
  </si>
  <si>
    <t>Önként vállalt feladat</t>
  </si>
  <si>
    <t>-</t>
  </si>
  <si>
    <t>Sportlétesítményekkel kapcsolatos kiadások</t>
  </si>
  <si>
    <t xml:space="preserve">             Handball Future Szolgáltató Kft.- Ingatlan üzemeltetésével összefüggő költségekhez</t>
  </si>
  <si>
    <t>Megnevezés</t>
  </si>
  <si>
    <t>a.</t>
  </si>
  <si>
    <t>b.</t>
  </si>
  <si>
    <t>c.</t>
  </si>
  <si>
    <t>d.</t>
  </si>
  <si>
    <t>e.</t>
  </si>
  <si>
    <t>f.</t>
  </si>
  <si>
    <t>Összesen</t>
  </si>
  <si>
    <t>1.</t>
  </si>
  <si>
    <t>2.</t>
  </si>
  <si>
    <t>3.</t>
  </si>
  <si>
    <t>4.</t>
  </si>
  <si>
    <t>5.</t>
  </si>
  <si>
    <t>6.</t>
  </si>
  <si>
    <t>7.</t>
  </si>
  <si>
    <t>8.</t>
  </si>
  <si>
    <t>9.</t>
  </si>
  <si>
    <t>Rovat száma</t>
  </si>
  <si>
    <t>K1</t>
  </si>
  <si>
    <t>K2</t>
  </si>
  <si>
    <t>K3</t>
  </si>
  <si>
    <t>K4</t>
  </si>
  <si>
    <t>K6</t>
  </si>
  <si>
    <t>K7</t>
  </si>
  <si>
    <t>K8</t>
  </si>
  <si>
    <t>7, Beruházások</t>
  </si>
  <si>
    <t>8, Felújítások</t>
  </si>
  <si>
    <t>(K1-K8)</t>
  </si>
  <si>
    <t>B1</t>
  </si>
  <si>
    <t>B2</t>
  </si>
  <si>
    <t>B3</t>
  </si>
  <si>
    <t>B4</t>
  </si>
  <si>
    <t>B5</t>
  </si>
  <si>
    <t>B6</t>
  </si>
  <si>
    <t>B7</t>
  </si>
  <si>
    <t>4. Előző évi felhalmozási célú költségvetési maradvány igénybevétele</t>
  </si>
  <si>
    <t>5. Maradvány igénybevétele (3+4)</t>
  </si>
  <si>
    <t>B8</t>
  </si>
  <si>
    <t>Székesfehérvár Vizi Társulat éves tagdíja</t>
  </si>
  <si>
    <t>Tervezési munkák</t>
  </si>
  <si>
    <t>Hatósági és egyéb díjak</t>
  </si>
  <si>
    <t>Belvárosi épületek rekonstrukcióját szolgáló fejlesztési alap (vissza nem térítendő támogatás)</t>
  </si>
  <si>
    <t>5, Egyéb működési célú kiadások</t>
  </si>
  <si>
    <t>3. Előző évi működési célú költségvetési  maradvány igénybevétele</t>
  </si>
  <si>
    <t>Tájékoztató Székesfehérvár Megyei Jogú Város Önkormányzat és  Költségvetési szervei</t>
  </si>
  <si>
    <t>Költségvetési szervek</t>
  </si>
  <si>
    <t>b/1</t>
  </si>
  <si>
    <t>c/1</t>
  </si>
  <si>
    <t>d/1</t>
  </si>
  <si>
    <t>1, Helyi önkormányzatok működésének általános támogatása</t>
  </si>
  <si>
    <t xml:space="preserve">4, Települési önkormányzatok kulturális feladatainak támogatása </t>
  </si>
  <si>
    <t>5, Működési célú központosított előirányzatok</t>
  </si>
  <si>
    <t>6, Önkormányzatok működési támogatásai összesen (1+2+3+4+5):</t>
  </si>
  <si>
    <t>B111</t>
  </si>
  <si>
    <t>B112</t>
  </si>
  <si>
    <t>B113</t>
  </si>
  <si>
    <t>B114</t>
  </si>
  <si>
    <t>B115</t>
  </si>
  <si>
    <t>B11</t>
  </si>
  <si>
    <t>B21</t>
  </si>
  <si>
    <t>B34</t>
  </si>
  <si>
    <t>B351</t>
  </si>
  <si>
    <t>B354</t>
  </si>
  <si>
    <t>B355</t>
  </si>
  <si>
    <t>B35</t>
  </si>
  <si>
    <t>B36</t>
  </si>
  <si>
    <t>B404</t>
  </si>
  <si>
    <t>B408</t>
  </si>
  <si>
    <t>B52</t>
  </si>
  <si>
    <t>11, Általános tartalék</t>
  </si>
  <si>
    <t>12, Céltartalék</t>
  </si>
  <si>
    <t>13, Tartalékok összesen:</t>
  </si>
  <si>
    <t>14,Költségvetési kiadások összesen:</t>
  </si>
  <si>
    <t>K9</t>
  </si>
  <si>
    <t>~ ebből: Tulajdonosi bevételek</t>
  </si>
  <si>
    <t xml:space="preserve">              Kiszámlázott általános forgalmi adó, és általános forgalmi adó visszatérítése</t>
  </si>
  <si>
    <t>B406-B407</t>
  </si>
  <si>
    <t xml:space="preserve">              Kamatbevételek</t>
  </si>
  <si>
    <t>B813</t>
  </si>
  <si>
    <t>1. Költségvetési bevételek mindösszesen</t>
  </si>
  <si>
    <t>2. Költségvetési kiadások mindösszesen</t>
  </si>
  <si>
    <t>I. Költségvetési bevételek</t>
  </si>
  <si>
    <t>III. Költségvetési kiadások</t>
  </si>
  <si>
    <t>V. Költségvetési egyenleg I-III.</t>
  </si>
  <si>
    <t>VI. Finanszírozási egyenleg II-IV.</t>
  </si>
  <si>
    <t>VII. Egyenleg V-VI.</t>
  </si>
  <si>
    <t>Székesfehérvár Megyei Jogú Város Önkormányzat és  Költségvetési szervei</t>
  </si>
  <si>
    <t>(B1-B7)</t>
  </si>
  <si>
    <t>1. Maradvány igénybevétele</t>
  </si>
  <si>
    <t>Műszaki ellenőrzések kerete</t>
  </si>
  <si>
    <t>7, Egyéb működési célú támogatások bevételei államháztartáson belülről</t>
  </si>
  <si>
    <t>B16</t>
  </si>
  <si>
    <t>8, Működési célú támogatások államháztartáson belülről összesen (6+7):</t>
  </si>
  <si>
    <t>9, Felhalmozási célú önkormányzati támogatások</t>
  </si>
  <si>
    <t>B25</t>
  </si>
  <si>
    <t>10, Egyéb felhalmozási célú támogatások bevételei államháztartáson belülről</t>
  </si>
  <si>
    <t>11, Felhalmozási célú támogatások államháztartáson belülről összesen: (9+10)</t>
  </si>
  <si>
    <t xml:space="preserve">              Közbiztonsági problémák társadalmi kezelése</t>
  </si>
  <si>
    <t>Anyakönyvi népesség-nyilvántartási és okmánykibocsátási tevékenység</t>
  </si>
  <si>
    <t xml:space="preserve">           Fehérvári Versünnep, a Költészet Napja - Fehérvár Médiacentrum Kft.</t>
  </si>
  <si>
    <t xml:space="preserve">           Székesfehérvári Turisztikai Közhasznú Nonprofit Kft. - működéshez</t>
  </si>
  <si>
    <t xml:space="preserve"> - Kulturális feladatokhoz kapcsolódó egyéb rendezvények</t>
  </si>
  <si>
    <t>Sportszakosztályi és csarnoküzemeltetési támogatások</t>
  </si>
  <si>
    <t>Egyéb sportcélú támogatások</t>
  </si>
  <si>
    <t>~ ebből: Civil nap megrendezési költségei</t>
  </si>
  <si>
    <t xml:space="preserve">              Önkormányzati kitüntetések, címek</t>
  </si>
  <si>
    <t xml:space="preserve">              Lakásbérlők és Lakástulajdonosok Érdekvédelmi Egyesülete</t>
  </si>
  <si>
    <t xml:space="preserve">              Alba Regia Nyugdíjas Egyesület</t>
  </si>
  <si>
    <t xml:space="preserve">              Széna Egyesület a Családokért</t>
  </si>
  <si>
    <t xml:space="preserve">              Szegényeket Támogató Alapítvány</t>
  </si>
  <si>
    <t xml:space="preserve">              Ifjúság A Jövő Családjaiért Kulturális Közhasznú Egyesület</t>
  </si>
  <si>
    <t xml:space="preserve">              Székesfehérvári Egyházmegye-Belvárosi templomok turisztikai célú támogatása</t>
  </si>
  <si>
    <t xml:space="preserve">              Magyar Hadisírgondozó Szövetség</t>
  </si>
  <si>
    <t xml:space="preserve">              Fehérvári Tűzoltó Egyesület</t>
  </si>
  <si>
    <t>Lakáselidegenítés kiadásai</t>
  </si>
  <si>
    <t xml:space="preserve">           Primavera Vegyeskórus Egyesület</t>
  </si>
  <si>
    <t xml:space="preserve">           Székesfehérvár-Tác Önkormányzati Társulás működésével kapcsolatos költségekre</t>
  </si>
  <si>
    <t xml:space="preserve">           "Ars Musica" Zenebarátok Egyesülete</t>
  </si>
  <si>
    <t>Egyéb felhalmozási célú kiadások</t>
  </si>
  <si>
    <t>Költségvetési kiadások összesen</t>
  </si>
  <si>
    <t>K5</t>
  </si>
  <si>
    <t>Működési célú támogatások államháztartáson belülről</t>
  </si>
  <si>
    <t>Felhalmozási célú támogatások államháztartáson belülről</t>
  </si>
  <si>
    <t>Működési célú átvett pénzeszközök</t>
  </si>
  <si>
    <t>Felhalmozási célú átvett pénzeszközök</t>
  </si>
  <si>
    <t>Maradvány igénybevétele</t>
  </si>
  <si>
    <t>n.=l.+m.</t>
  </si>
  <si>
    <t xml:space="preserve">           Vox Mirabilis Közhasznú Kulturális Egyesület</t>
  </si>
  <si>
    <t>Egyéb működési célú kiadások</t>
  </si>
  <si>
    <t>Egyéb felhalmozási célú  kiadások</t>
  </si>
  <si>
    <t>9, Egyéb felhalmozási célú kiadások</t>
  </si>
  <si>
    <t>K5(k512)</t>
  </si>
  <si>
    <t>K1-8.</t>
  </si>
  <si>
    <t>K1-5.</t>
  </si>
  <si>
    <t>K6-8.</t>
  </si>
  <si>
    <t>(K1-8.)</t>
  </si>
  <si>
    <t>B1-7.</t>
  </si>
  <si>
    <t>o.=g.+k.+n.</t>
  </si>
  <si>
    <t>Közlekedési kiadások</t>
  </si>
  <si>
    <t>~ ebből: HEROSZ Egyesület</t>
  </si>
  <si>
    <t>Felhalmozási célú támogatások bevételei államháztartáson belülről</t>
  </si>
  <si>
    <t>Működési költségvetési kiadások összesen:</t>
  </si>
  <si>
    <t>Működési költségvetési bevételek összesen:</t>
  </si>
  <si>
    <t>Működési költségvetési kiadások</t>
  </si>
  <si>
    <t>Működési költségvetési bevételek</t>
  </si>
  <si>
    <t>Felhalmozási költségvetési kiadások</t>
  </si>
  <si>
    <t>Felhalmozási költségvetési bevételek</t>
  </si>
  <si>
    <t xml:space="preserve">Felhalmozási bevételek </t>
  </si>
  <si>
    <t>Működési költségvetési bevételek-kiadások egyenlege</t>
  </si>
  <si>
    <t>Felhalmozási költségvetési bevételek- kiadások egyenlege</t>
  </si>
  <si>
    <t>Felhalmozási költségvetési kiadások összesen:</t>
  </si>
  <si>
    <t>Felhalmozási költségvetési bevételek összesen:</t>
  </si>
  <si>
    <t>Működési finanszírozási kiadások</t>
  </si>
  <si>
    <t>Működési finanszírozási bevételek</t>
  </si>
  <si>
    <t>Működési finanszírozási bevételek-kiadások egyenlege</t>
  </si>
  <si>
    <t>Működési finanszírozási kiadások összesen:</t>
  </si>
  <si>
    <t>Működési finanszírozási bevételek összesen:</t>
  </si>
  <si>
    <t>Működési egyenleg</t>
  </si>
  <si>
    <t>Felhalmozási finanszírozási kiadások</t>
  </si>
  <si>
    <t>Felhalmozási finanszírozási kiadások összesen:</t>
  </si>
  <si>
    <t>Felhalmozási finanszírozási bevételek</t>
  </si>
  <si>
    <t>Felhalmozási finanszírozási bevételek összesen:</t>
  </si>
  <si>
    <t>Felhalmozási egyenleg</t>
  </si>
  <si>
    <t>Finanszírozási kiadások összesen:</t>
  </si>
  <si>
    <t>Finanszírozási bevételek összesen:</t>
  </si>
  <si>
    <t>Egyenleg</t>
  </si>
  <si>
    <t>Finanszírozási bevételek-kiadások egyenlege</t>
  </si>
  <si>
    <t>Felhalmozási finanszírozási bevételek-kiadások egyenlege</t>
  </si>
  <si>
    <t>Támogatási keretek, alapok</t>
  </si>
  <si>
    <t>2. Irányító szervi támogatás</t>
  </si>
  <si>
    <t>Irányító szervi támogatás folyósítása</t>
  </si>
  <si>
    <t xml:space="preserve">Irányító szervi támogatás </t>
  </si>
  <si>
    <t>I. Költségvetési egyenleg (1-2) az Áht. szerint</t>
  </si>
  <si>
    <t>6. Irányító szervi támogatás</t>
  </si>
  <si>
    <t>B816</t>
  </si>
  <si>
    <t>3, Települési önkormányzatok szociális, gyermekjóléti és gyermekétkeztetési feladatainak támogatása</t>
  </si>
  <si>
    <t>K915</t>
  </si>
  <si>
    <t>K5 (K501-K512)</t>
  </si>
  <si>
    <t>K5 (K513)</t>
  </si>
  <si>
    <t>2, Települési önkormányzatok egyes köznevelési feladatainak támogatása</t>
  </si>
  <si>
    <t>5, Működési célú költségvetési támogatások és kiegészítő támogatások</t>
  </si>
  <si>
    <t xml:space="preserve">VÁROSFEJLESZTÉS </t>
  </si>
  <si>
    <t xml:space="preserve">           Alba Regia Táncegyesület - közszolgáltatási szerződés</t>
  </si>
  <si>
    <t xml:space="preserve">           Alba Regia Táncegyesület - programok és működési támogatás</t>
  </si>
  <si>
    <t xml:space="preserve">           Gárdonyi Géza Művelődési Ház és Könyvtár Egyesület</t>
  </si>
  <si>
    <t xml:space="preserve">             Alba Regia SC Kft. Kosárlabda Szakosztály</t>
  </si>
  <si>
    <t xml:space="preserve">             Delfin Sportegyesület- működésre</t>
  </si>
  <si>
    <t xml:space="preserve">             Laroco Motorsport Klub Veszprém-Fehérvár rally megrendezése</t>
  </si>
  <si>
    <t xml:space="preserve">             Pro Rekreatione Közhasznú Nonprofit Kft.- Velence-tavi Vízi Sportiskola működési támogatás</t>
  </si>
  <si>
    <t xml:space="preserve">           Fehérvári Programszervező Kft.</t>
  </si>
  <si>
    <t>~ ebből: Székesfehérvári Többcélú Kistérségi Társulás feladatellátásához való működési hozzájárulás</t>
  </si>
  <si>
    <t>Feladat megnevezése</t>
  </si>
  <si>
    <t>Csapadékcsatorna üzemeltetés</t>
  </si>
  <si>
    <t>Belvárosi épületek rekonstrukcióját szolgáló fejlesztési alap (visszatérítendő támogatás)</t>
  </si>
  <si>
    <t>544/2015. (VII.23.) kgy.határozathoz kapcsolódó fejlesztési keret</t>
  </si>
  <si>
    <t>Székesfehérvár-Csala 22 kV-os vezeték kiváltása</t>
  </si>
  <si>
    <t>Autóbusz-hálózat átalakításával összefüggő feladatok</t>
  </si>
  <si>
    <t>Államigazgatási feladat</t>
  </si>
  <si>
    <t>Államigaz-gatási feladat</t>
  </si>
  <si>
    <t>Székesfehérvári Mikrovállalkozások Kamattámogatási Programja</t>
  </si>
  <si>
    <t>Álláshely</t>
  </si>
  <si>
    <t>6, Működési költségvetési kiadások összesen</t>
  </si>
  <si>
    <t>10, Felhalmozási költségvetési kiadások összesen</t>
  </si>
  <si>
    <t>6, Működési költségvetési kiadások  összesen:</t>
  </si>
  <si>
    <t>10, Felhalmozási költségvetési kiadások összesen:</t>
  </si>
  <si>
    <t>Előző évi felhalmozási célú költségvetési maradvány igénybevétele</t>
  </si>
  <si>
    <t>Előző évi működési célú költségvetési maradvány igénybevétele</t>
  </si>
  <si>
    <t>Működési költségvetés összesen</t>
  </si>
  <si>
    <t>Felhalmozási költségvetés összesen</t>
  </si>
  <si>
    <t>Önkormányzat eredeti előirányzata</t>
  </si>
  <si>
    <t xml:space="preserve">Költségvetési és finanszírozási egyenleg működési és felhalmozási cél szerinti bontásban (eFt-ban)  </t>
  </si>
  <si>
    <t>Módosított előirányzat</t>
  </si>
  <si>
    <t>Javasolt módosítás</t>
  </si>
  <si>
    <t>b/2</t>
  </si>
  <si>
    <t>b/3</t>
  </si>
  <si>
    <t>c/2</t>
  </si>
  <si>
    <t>c/3</t>
  </si>
  <si>
    <t>d/2</t>
  </si>
  <si>
    <t>d/3</t>
  </si>
  <si>
    <t>d/1=b/1+c/1</t>
  </si>
  <si>
    <t>d/2=b/2+c/2</t>
  </si>
  <si>
    <t>d/3=b/3+c/3</t>
  </si>
  <si>
    <t>b/1.</t>
  </si>
  <si>
    <t>b/2.</t>
  </si>
  <si>
    <t>b/3.</t>
  </si>
  <si>
    <t>c/1.</t>
  </si>
  <si>
    <t>c/2.</t>
  </si>
  <si>
    <t>c/3.</t>
  </si>
  <si>
    <t>d/1.=b/1.+c/1.</t>
  </si>
  <si>
    <t>d/2.=b/2.+c/2.</t>
  </si>
  <si>
    <t>d/3.=b/3.+c/3.</t>
  </si>
  <si>
    <t>Székesfehérvár Megyei Jogú Város Önkormányzat és Költségvetési szervei</t>
  </si>
  <si>
    <t>Tervezett felújítási munka</t>
  </si>
  <si>
    <t>Összesen:</t>
  </si>
  <si>
    <t>Akadálymentesítéshez, lift kialakításához kapcsolódó munkák</t>
  </si>
  <si>
    <t xml:space="preserve">Polgármesteri Hivatal </t>
  </si>
  <si>
    <t>Polgármesteri Hivatal épületeit érintő felújítások</t>
  </si>
  <si>
    <t>Tartalék keret</t>
  </si>
  <si>
    <t>Vis Maior</t>
  </si>
  <si>
    <t>Mindösszesen:</t>
  </si>
  <si>
    <t>Kríziskezelő Központ</t>
  </si>
  <si>
    <t xml:space="preserve">           Önként vállalt feladat összesen</t>
  </si>
  <si>
    <t>Ebből: Kötelező feladat összesen</t>
  </si>
  <si>
    <t>összesen:</t>
  </si>
  <si>
    <t xml:space="preserve">            Önként vállalt feladat e.i.</t>
  </si>
  <si>
    <t>~ ebből:Kötelező feladate.i.</t>
  </si>
  <si>
    <t>Polgármesteri Hivatal</t>
  </si>
  <si>
    <t>Intézmények összesen:</t>
  </si>
  <si>
    <t>Kulturális ellátás összesen:</t>
  </si>
  <si>
    <t>Ebből: Önként vállalt feladat összesen</t>
  </si>
  <si>
    <t>~ ebből:Önként vállalt feladat e.i.</t>
  </si>
  <si>
    <t>Vörösmarty Színház</t>
  </si>
  <si>
    <t>Alba Regia Szimfonikus Zenekar</t>
  </si>
  <si>
    <t>Szent István Király Múzeum</t>
  </si>
  <si>
    <t>Vörösmarty Mihály Könyvtár</t>
  </si>
  <si>
    <t>Városi Levéltár és Kutatóintézet</t>
  </si>
  <si>
    <t xml:space="preserve">Székesfehérvári Intézményi Központ </t>
  </si>
  <si>
    <t>Szociális ellátás összesen</t>
  </si>
  <si>
    <t>Humán Szolg. összesen</t>
  </si>
  <si>
    <t>Óvodák összesen</t>
  </si>
  <si>
    <t>Ligetsori Óvoda</t>
  </si>
  <si>
    <t>Szivárvány Óvoda</t>
  </si>
  <si>
    <t>Szárazréti Óvoda</t>
  </si>
  <si>
    <t>Napsugár Óvoda</t>
  </si>
  <si>
    <t>Maroshegyi Óvoda</t>
  </si>
  <si>
    <t>Hosszúsétatéri Óvoda</t>
  </si>
  <si>
    <t>Felsővárosi Óvoda</t>
  </si>
  <si>
    <t>Árpád Úti Óvoda</t>
  </si>
  <si>
    <t>Bölcsőde összesen</t>
  </si>
  <si>
    <t>Nyitnikék Bölcsőde</t>
  </si>
  <si>
    <t>Napraforgó Bölcsőde</t>
  </si>
  <si>
    <t>Százszorszép Bölcsőde</t>
  </si>
  <si>
    <t>Eü. Ellátás összesen</t>
  </si>
  <si>
    <t>Frim Jakab Képességfejlesztő Szakosított Otthon</t>
  </si>
  <si>
    <t>Humán Szolgáltató Intézet</t>
  </si>
  <si>
    <t>l.=j.+k.</t>
  </si>
  <si>
    <t>k.=d.+g.+i.</t>
  </si>
  <si>
    <t>j.=c.+e +f.+h.</t>
  </si>
  <si>
    <t>g.</t>
  </si>
  <si>
    <t>(B1-8.)</t>
  </si>
  <si>
    <t>(B1-7.)</t>
  </si>
  <si>
    <t>(B2+B5+B7)</t>
  </si>
  <si>
    <t>(B1+B3+B4+B6)</t>
  </si>
  <si>
    <t>Önkormányzati támogatás</t>
  </si>
  <si>
    <t>Bevételek  összesen</t>
  </si>
  <si>
    <t>Finanszírozási bevételek</t>
  </si>
  <si>
    <t>Költségvetési  bevételek összesen</t>
  </si>
  <si>
    <t xml:space="preserve"> Közhatalmi bevételek</t>
  </si>
  <si>
    <t>KÖLTSÉGVETÉSI SZERVEK</t>
  </si>
  <si>
    <t>cím</t>
  </si>
  <si>
    <t>o.=m.+n.</t>
  </si>
  <si>
    <t>n.</t>
  </si>
  <si>
    <t>m.=h.+l.</t>
  </si>
  <si>
    <t>l.=i.+j.+k.</t>
  </si>
  <si>
    <t>k.</t>
  </si>
  <si>
    <t>h.=c.+d.+e.+f.+g.</t>
  </si>
  <si>
    <t>(K1-9.)</t>
  </si>
  <si>
    <t>(K6-8.)</t>
  </si>
  <si>
    <t>(K1-5.)</t>
  </si>
  <si>
    <t>Kiadások  összesen</t>
  </si>
  <si>
    <t>Finanszírozási kiadások</t>
  </si>
  <si>
    <t>Egyéb működési célú  kiadások</t>
  </si>
  <si>
    <t>Ellátottak pénzbeli juttatásai</t>
  </si>
  <si>
    <t>Munkaadókat terhelő járulékok és szocilis hozzájárulási adó</t>
  </si>
  <si>
    <t xml:space="preserve"> INTÉZMÉNYEK</t>
  </si>
  <si>
    <t>Cím</t>
  </si>
  <si>
    <t>Működési költségvetési bevételek összesen</t>
  </si>
  <si>
    <t>Felhalmozási költségvetési bevételek összesen</t>
  </si>
  <si>
    <t>Rákóczi Utcai Óvoda</t>
  </si>
  <si>
    <t>Tolnai Utcai Óvoda</t>
  </si>
  <si>
    <t xml:space="preserve">           Államigazgatási feladat
           összesen</t>
  </si>
  <si>
    <t xml:space="preserve">            Államigazgatási feladat e.i.</t>
  </si>
  <si>
    <t>Működési költségvetési kiadások összesen</t>
  </si>
  <si>
    <t>Felhalmozási költségvetési kiadások  összesen</t>
  </si>
  <si>
    <t xml:space="preserve">I. </t>
  </si>
  <si>
    <t>Igazgatási tevékenység</t>
  </si>
  <si>
    <t>~ Bevétel miatti növekedés</t>
  </si>
  <si>
    <t>4, Ellátottak pénzbeli juttatásai</t>
  </si>
  <si>
    <t>K914</t>
  </si>
  <si>
    <t>II. Finanszírozási egyenleg (8-9)</t>
  </si>
  <si>
    <t>Egyenleg (I-II.)</t>
  </si>
  <si>
    <t>Szolidaritási hozzájárulás</t>
  </si>
  <si>
    <t>~ ebből: Városrészi közbiztonsági feladatok támogatása</t>
  </si>
  <si>
    <t xml:space="preserve">              Térfigyelő kamerarendszer bővítése (Közbiztonság növelését szolgáló fejlesztések megvalósítása)</t>
  </si>
  <si>
    <t>Víziközmű-fejlesztési Alap</t>
  </si>
  <si>
    <t xml:space="preserve">              Önálló Főiskolai Közalapítvány támogatása</t>
  </si>
  <si>
    <t xml:space="preserve">              Székesfehérvári Tankerületi Központ- oktatásszakmai munkájának támogatása</t>
  </si>
  <si>
    <t xml:space="preserve">              Székesfehérvári Szakképzési Centrum - oktatásszakmai munkájának támogatása</t>
  </si>
  <si>
    <t xml:space="preserve">              Mozgássérültek Fejér Megyei Egyesülete által fenntartott Viktória Rehabilitációs Központ egészségügyi és szociális ellátásának támogatása</t>
  </si>
  <si>
    <t xml:space="preserve">              Alba Civitan Rehabilitációs Nonprofit Kft. támogatása</t>
  </si>
  <si>
    <t xml:space="preserve">              Székesfehérvár Fejlődéséért Alapítvány támogatása</t>
  </si>
  <si>
    <t xml:space="preserve">              Kégl György Program - Fejér Megyei Szent György Egyetemi Oktató Kórház működési és fejlesztési támogatása</t>
  </si>
  <si>
    <t xml:space="preserve">              Kégl György Program - Egészségügyi feladatok</t>
  </si>
  <si>
    <t xml:space="preserve">           Bory-Vár Alapítvány támogatása</t>
  </si>
  <si>
    <t xml:space="preserve">           Kákics Kulturális Egyesület</t>
  </si>
  <si>
    <t>~ ebből: Fehérvár FC Kft.</t>
  </si>
  <si>
    <t xml:space="preserve">             Alba Volán Sportclub Öttusa Szakosztály</t>
  </si>
  <si>
    <t xml:space="preserve">             Fehérvár Enthroners Sportegyesület</t>
  </si>
  <si>
    <t xml:space="preserve">             Fehérvár Frizbi Sportegyesület</t>
  </si>
  <si>
    <t>TÁMOGATÁSI ALAPOK (KERETEK, ALAPOK)</t>
  </si>
  <si>
    <t>Közösségi terek tervezése, létrehozása</t>
  </si>
  <si>
    <t>Székesfehérvár szennyvíztisztító telep biogáz vonalának fejlesztése</t>
  </si>
  <si>
    <t>Palotavárosi tavak sport és rekreációs célú hasznosítása</t>
  </si>
  <si>
    <t>Budai u. 56/a ingatlan felújítása (Csemete Gyermekcentrum Bölcsőde)</t>
  </si>
  <si>
    <t>Integrált Területi Program (ITP) felújításai</t>
  </si>
  <si>
    <t>Integrált Területi Program (ITP) felújításai összesen:</t>
  </si>
  <si>
    <t>Államháztartáson belüli megelőlegezések visszafizetése</t>
  </si>
  <si>
    <t xml:space="preserve">IV. </t>
  </si>
  <si>
    <t>Vagyongazdálkodás</t>
  </si>
  <si>
    <t xml:space="preserve">II. </t>
  </si>
  <si>
    <t>Hatósági tevékenység</t>
  </si>
  <si>
    <t>Mindösszesen</t>
  </si>
  <si>
    <t>Parkolóház kialakítására (282/2017.(IV.7.) kgy.hat.alapján)</t>
  </si>
  <si>
    <t>Kötlező feladat</t>
  </si>
  <si>
    <t>Önként vállat feladat</t>
  </si>
  <si>
    <t>Önként  vállalt feladat</t>
  </si>
  <si>
    <t xml:space="preserve"> </t>
  </si>
  <si>
    <t>Bevételek</t>
  </si>
  <si>
    <t>január</t>
  </si>
  <si>
    <t>február</t>
  </si>
  <si>
    <t>március</t>
  </si>
  <si>
    <t>április</t>
  </si>
  <si>
    <t>május</t>
  </si>
  <si>
    <t>június</t>
  </si>
  <si>
    <t>július</t>
  </si>
  <si>
    <t>augusztus</t>
  </si>
  <si>
    <t>szeptember</t>
  </si>
  <si>
    <t>október</t>
  </si>
  <si>
    <t>november</t>
  </si>
  <si>
    <t>december</t>
  </si>
  <si>
    <t>összesen</t>
  </si>
  <si>
    <t>Működési célú pénzeszköz átvétel</t>
  </si>
  <si>
    <t>Felhalmozási célú pénzeszköz átvétel</t>
  </si>
  <si>
    <t>Bevétel összesen*</t>
  </si>
  <si>
    <t>Kiadások</t>
  </si>
  <si>
    <t>Költségvetési szervek  kiadásai</t>
  </si>
  <si>
    <t>Igazgatási és egyéb központosított kiadások</t>
  </si>
  <si>
    <t>Fejlesztési kiadások, Viziközmű-fejlesztési Alap</t>
  </si>
  <si>
    <t>Tartalék</t>
  </si>
  <si>
    <t>Államháztartáson belüli megelőlegezések</t>
  </si>
  <si>
    <t>Kiadás összesen*</t>
  </si>
  <si>
    <t>* Megjegyzés: Tartalmazza a finanszírozási célú bevételeket és kiadásokat, kivéve az irányító szervi támogatást a duplikáció elkerülése okán.</t>
  </si>
  <si>
    <t>Felújítási kiadások</t>
  </si>
  <si>
    <t>Az Önkormányzat költségvetési kiadásai feladatonkénti bontásban
(eFt-ban)</t>
  </si>
  <si>
    <t>x</t>
  </si>
  <si>
    <t xml:space="preserve">             Vadmadárkórház Természetvédelmi Alapítvány a Vadon Élő Madarak Megmentéséért</t>
  </si>
  <si>
    <t xml:space="preserve">              Fejér Megyei Rendőr-Főkapitányság - Székesfehérvári Rendőrkapitányság működésére</t>
  </si>
  <si>
    <t>Közműellátási feladatok</t>
  </si>
  <si>
    <t xml:space="preserve">              "Aranyeső" Alapítvány az egészséges emberért támogatása - Hétpettyes Óvoda</t>
  </si>
  <si>
    <t xml:space="preserve">              "Lánczos Kornél-Szekfű Gyula" Ösztöndíj Közalapítvány támogatása</t>
  </si>
  <si>
    <t xml:space="preserve">              Tóth István és Tóth Terézia Ösztöndíj Közalapítvány támogatása</t>
  </si>
  <si>
    <t xml:space="preserve">              Színes Diploma átadó ünnepség megrendezésére - Pedagógusok Szakszervezete Fejér Megyei Szervezete</t>
  </si>
  <si>
    <t xml:space="preserve">              "Alba Regia" tanulmányi ösztöndíj</t>
  </si>
  <si>
    <t xml:space="preserve">              Fehérvári Pályakezdő Orvosok Egyesülete támogatása</t>
  </si>
  <si>
    <t xml:space="preserve">              Segítő Fehérvár program</t>
  </si>
  <si>
    <t xml:space="preserve">           Városi rendezvények</t>
  </si>
  <si>
    <t xml:space="preserve">           "Szín-Tér"/Színjátszó-Versmondó/ Egyesület </t>
  </si>
  <si>
    <t xml:space="preserve">         Könyvkiadás</t>
  </si>
  <si>
    <t xml:space="preserve">         Kulturális célú kiadások év közben jelentkező többletfeladatok</t>
  </si>
  <si>
    <t xml:space="preserve">         Jazz Fesztivál megrendezése- M.A.P.! Workshop Kft.</t>
  </si>
  <si>
    <t xml:space="preserve">         Székelyföldi Verstábor - Fortis Hungarorum Kulturális Egyesület</t>
  </si>
  <si>
    <t xml:space="preserve">         Magyar Zsidó Kulturális Egyesület</t>
  </si>
  <si>
    <t xml:space="preserve">         Bálok támogatása </t>
  </si>
  <si>
    <t xml:space="preserve">             Fehérvár AV 19 Sport Club Jégkorong Szakosztály</t>
  </si>
  <si>
    <t>~ ebből: Fehérvár AV 19 Sport Club  - Ingatlan üzemeltetésével, fejlesztésével összefüggő költségekhez</t>
  </si>
  <si>
    <t xml:space="preserve">             Track&amp;Race - Sportügynökség Korlátolt Felelősségű Társaság - "Gyulai István Memorial-Atlétikai Magyar Nagydíj" </t>
  </si>
  <si>
    <t xml:space="preserve">             Alba Regia Atlétikai Klub - Országos atlétikai versenyek megrendezésére</t>
  </si>
  <si>
    <t xml:space="preserve">             Felsővárosi Fésüs Röplabda Akadémia Fehérvár</t>
  </si>
  <si>
    <t xml:space="preserve">            "Fehérvár Kiskút Teniszklub" Sportegyesület </t>
  </si>
  <si>
    <t>Alba Geotrade Zrt. EKN. Vezetés, bemérések</t>
  </si>
  <si>
    <t>Tervfelülvizsgálatok, közműegyeztetések</t>
  </si>
  <si>
    <t>Székesfehérvári Stadionrekonstrukciós program megvalósítására, figyelemmel a 1285/2015.(IV.30.) Korm. Határozatra, valamint a megvalósítás ütemezésére</t>
  </si>
  <si>
    <t>Városmester üzemeltetés, fejlesztés</t>
  </si>
  <si>
    <t>Bory-vár épületdiagnosztikai és tartószerkezeti vizsgálat</t>
  </si>
  <si>
    <t>Gárdonyi Géza Művelődési Ház és Könyvtár felújítására irányuló beruházás előkészítése (1841/2017.(XI.10.) Kormány határozat alapján)</t>
  </si>
  <si>
    <t>Fekete Sas Szálló rekonstrukciójához és fejlesztéséhez szükséges előkészítő és tervezési feladatok</t>
  </si>
  <si>
    <t>Velencei Gyermek- és Ifjúsági Tábor fejlesztése</t>
  </si>
  <si>
    <t>A belváros élhetőségének javítását szolgáló Zichy-liget projekt tervezése</t>
  </si>
  <si>
    <t>ITP keretében megvalósuló fejlesztések</t>
  </si>
  <si>
    <t>Óvodai udvarok megújítása</t>
  </si>
  <si>
    <t>Innovatív Szociális Szolgáltató Központ kialakítása Székesfehérváron</t>
  </si>
  <si>
    <t>Épület felújítása és eszközbeszerzés a TOP 6.6.1-16 kódszámú pályázati felhívás keretében</t>
  </si>
  <si>
    <t>Felnőtt háziorvosi rendelő felújítása</t>
  </si>
  <si>
    <t>Gyermekorvosi rendelő és védőnői tanácsadó átalakítása, bővítése, felújítása a TOP 6.2.1-16 kódszámú pályázati felhívás keretében</t>
  </si>
  <si>
    <t>Záró Pénzkészlet (Nyitó pénzkészlet + Bevétel-Kiadás különbözete)</t>
  </si>
  <si>
    <t>32.</t>
  </si>
  <si>
    <t>33.</t>
  </si>
  <si>
    <t>Székesfehérvári Balett Színház</t>
  </si>
  <si>
    <t>~ Főösszeget nem érintő saját hatáskörű átcsoportosítás</t>
  </si>
  <si>
    <t>Nemzeti Szabadidős-Egészség Sportpark Program önkormányzati saját erő (194/2018.(III.19.) kgy.hat.alapján)</t>
  </si>
  <si>
    <t xml:space="preserve">         Államalapító Szent István Érdemrend és Díj Alapítvány</t>
  </si>
  <si>
    <t xml:space="preserve">             Rászoruló gyermekek intézményen kívüli szünidei étkeztetésének támogatása</t>
  </si>
  <si>
    <t>Siklósi Gyula Várostörténeti Kutatóközpont</t>
  </si>
  <si>
    <t xml:space="preserve">              Kábítószerügyi Egyeztető Fórum</t>
  </si>
  <si>
    <t xml:space="preserve">              Vadásztölténygyári Vasas Ifjúsági és Sport Egyesület- Futballfesztivál megrendezésének támogatása</t>
  </si>
  <si>
    <t xml:space="preserve">              Maroshegyi Ifjúsági Egyesület</t>
  </si>
  <si>
    <t xml:space="preserve">              Egészség és Kultúra Egyesület - Fehérvár Feszt megrendezésének támogatása </t>
  </si>
  <si>
    <t xml:space="preserve">              Egészség és Kultúra Egyesület - Skate Park és szurkolói klub működtetése</t>
  </si>
  <si>
    <t xml:space="preserve">              Székesfehérvári Városszépítő- és Védő Egyesület - Székesfehérvár Hosszútemető műemlék jellegű sírjainak karbantartására, felújítására</t>
  </si>
  <si>
    <t xml:space="preserve">              Ifjúsági feladatok és a Székesfehérvári Diáktanács működése</t>
  </si>
  <si>
    <t xml:space="preserve">              Székesfehérvári Szerb Nemzetiségi Önkormányzat- Szerb templom karbantartásához, felújításához, nyitvatartásához</t>
  </si>
  <si>
    <t xml:space="preserve">              Székesfehérvári Születési Támogatási Program - települési támogatás</t>
  </si>
  <si>
    <t xml:space="preserve">              Székesfehérvári Szociális Alapítvány</t>
  </si>
  <si>
    <t xml:space="preserve">              Székesfehérvári Érzékenyítő Program</t>
  </si>
  <si>
    <t xml:space="preserve">              Gaja Környezetvédő Egyesület működési támogatása</t>
  </si>
  <si>
    <t xml:space="preserve">              Önkormányzati közalapítványok támogatása (379/2016. (V.27.) kgy. hat. alapján)</t>
  </si>
  <si>
    <t xml:space="preserve">              Katonai Emlékpark Közhasznú Nonprofit Kft.- A Katonai Emlékpark kiemelt- elsősorban pedagógiai-programjainak támogatása</t>
  </si>
  <si>
    <t xml:space="preserve">              1956-os Magyar Szabadságharcosok Világszövetsége Egyesület</t>
  </si>
  <si>
    <t xml:space="preserve">              Honvédség és Társadalom Baráti Kör Székesfehérvári Szervezete</t>
  </si>
  <si>
    <t xml:space="preserve">              Dévai Szent Ferenc Alapítvány- Szent Imre Iskolaház működéséhez támogatás</t>
  </si>
  <si>
    <t xml:space="preserve">              Fehérvári Civil Központ üzemeltetése</t>
  </si>
  <si>
    <t xml:space="preserve">              Civil Centrum Közhasznú Alapítvány - Esélykör működtetése</t>
  </si>
  <si>
    <t xml:space="preserve">              Magyar Vöröskereszt Fejér Megyei Szervezete</t>
  </si>
  <si>
    <t xml:space="preserve">              Tarsoly Ifjúságért Egyesület</t>
  </si>
  <si>
    <t xml:space="preserve">              Nagycsaládosok Országos Egyesülete - székesfehérvári csoport támogatása</t>
  </si>
  <si>
    <t xml:space="preserve">              Vasútmodell kiállítás üzemeltetésének támogatása</t>
  </si>
  <si>
    <t xml:space="preserve">              Prosperis Alba Kutatóközpont Nonprofit Kft.</t>
  </si>
  <si>
    <t xml:space="preserve">              Székesfehérvári Zsidó Hitközség</t>
  </si>
  <si>
    <t xml:space="preserve">              Állatotthonok működési támogatása - ASKA Alapítvány</t>
  </si>
  <si>
    <t xml:space="preserve">              Állatotthonok működési támogatása - FEMA Állatmentő és Állatvédelmi Egyesület</t>
  </si>
  <si>
    <t xml:space="preserve">              Smart Grant Alapítvány</t>
  </si>
  <si>
    <t xml:space="preserve">              Informatikai fejlesztés</t>
  </si>
  <si>
    <t>~ ebből: Ingatlangazdálkodási Alap</t>
  </si>
  <si>
    <t xml:space="preserve">             Helyi közösségi közlekedés viteldíjához kapcsolódó intézkedések kerete</t>
  </si>
  <si>
    <t xml:space="preserve">              Székesfehérvári felsőoktatási intézmények támogatása</t>
  </si>
  <si>
    <t xml:space="preserve">              Digitális kompetencia fejlesztése - okos osztályterem pilot program keretében (Székesfehérvár Fejlődéséért Alapítvány)</t>
  </si>
  <si>
    <t xml:space="preserve">              Digitális kompetencia fejlesztése - digitális felnőttképzési pilot program keretében (Székesfehérvár Fejlődéséért Alapítvány)</t>
  </si>
  <si>
    <t xml:space="preserve">           Babamúzeum jogdíja</t>
  </si>
  <si>
    <t xml:space="preserve">           Réber Hagyaték</t>
  </si>
  <si>
    <t xml:space="preserve">           Vasutas Országos Közművelődési és Szabadidő Egyesület Vörösmarty Mihály Művelődési Ház és Könyvtár</t>
  </si>
  <si>
    <t xml:space="preserve">          Quartettissimo Fesztivál- Károlyi József Alapítvány</t>
  </si>
  <si>
    <t xml:space="preserve">          Fehérvári Zenei Napok- FEZEN Művészeti és Jószolgálati Alapítvány</t>
  </si>
  <si>
    <t xml:space="preserve">         Nemzeti és állami ünnepeink</t>
  </si>
  <si>
    <t xml:space="preserve">         Városrészi rendezvények</t>
  </si>
  <si>
    <t xml:space="preserve">         Emléktábla elhelyezéséhez támogatás</t>
  </si>
  <si>
    <t xml:space="preserve">         Trianon Centenárium</t>
  </si>
  <si>
    <t>~ ebből: Magyar Labdarúgó Szövetség Fejér Megyei Igazgatósága - "Alba Liga" kispályás labdarúgó bajnokság támogatása</t>
  </si>
  <si>
    <t xml:space="preserve">             MÁV Előre Sport Club </t>
  </si>
  <si>
    <t xml:space="preserve">             Év közben jelentkező sportcélú kiadások</t>
  </si>
  <si>
    <t xml:space="preserve">             Free Spirit Tánc-Sport Egyesület</t>
  </si>
  <si>
    <t xml:space="preserve">             Fehérvári Vizilabda Sportegyesület- uszoda fejlesztéssel kapcsolatos tervek elkészítéséhez támogatás (230/2018.(IV.20.) kgy.hat.alapján)</t>
  </si>
  <si>
    <t>Kulturális Alap</t>
  </si>
  <si>
    <t>Egészségügyi Alap</t>
  </si>
  <si>
    <t>Sport Alap</t>
  </si>
  <si>
    <t>Ifjúsági Alap</t>
  </si>
  <si>
    <t>Nemzetiségi Alap</t>
  </si>
  <si>
    <t xml:space="preserve">             Jubileumi jutalom, jogszabályból fakadó személyi jellegű többlet kifizetések kerete</t>
  </si>
  <si>
    <t xml:space="preserve">             Intézményi kafetéria juttatás fedezetére</t>
  </si>
  <si>
    <t xml:space="preserve">             Költségvetési szervek működési költségeinek  tartalék kerete, valamint az új illetve átszervezéssel érintett intézmények megalakulásával és átszervezésével kapcsolatos eseti költségeinek fedezetére</t>
  </si>
  <si>
    <t xml:space="preserve">             Óvodai és iskolai szociális segítő tevékenység támogatása</t>
  </si>
  <si>
    <t xml:space="preserve">      </t>
  </si>
  <si>
    <t xml:space="preserve">             Járásszékhely múzeumok szakmai támogatása</t>
  </si>
  <si>
    <t xml:space="preserve">             Katonai Főváros Program kerete</t>
  </si>
  <si>
    <t>Javasolt módosítás     (2)</t>
  </si>
  <si>
    <t>Költségvetési szerveknek lebontás
(6)</t>
  </si>
  <si>
    <t>Csóri karsztakna védelembe helyezése előkészítő feladatok</t>
  </si>
  <si>
    <t>Székesfehérvár, Juharfa utca 7899/68 helyrajzi számú ingatlanon álló épület és kerítés felújítási munkái</t>
  </si>
  <si>
    <t>Önerős fejlesztések összesen</t>
  </si>
  <si>
    <t>MVP, egyedi projektek</t>
  </si>
  <si>
    <t>MVP, egyedi projektek összesen:</t>
  </si>
  <si>
    <t>Támogatásból megvalósuló fejlesztések összesen</t>
  </si>
  <si>
    <t>Alagsori szint talajvíz elleni szigeteléséhez és felújításához kapcsolódó tervezési feladat</t>
  </si>
  <si>
    <t xml:space="preserve">Napraforgó Bölcsőde </t>
  </si>
  <si>
    <t>Udvari babakocsi és kerékpár tároló kialakítása,
megsüllyedt és balesteveszélyes térkő burkolat helyreállítása</t>
  </si>
  <si>
    <t>Tetőhéjazat csere</t>
  </si>
  <si>
    <t>Felsővárosi Óvoda Ybl Miklós Tagóvoda</t>
  </si>
  <si>
    <t>Udvari szervízjárda és emeleti felnőtt vizesblokk felújítása</t>
  </si>
  <si>
    <t>Hosszúsétatéri Óvoda Tóvárosi Tagóvoda</t>
  </si>
  <si>
    <t>3db vizesblokk felújítása, ereszcsatorna és bölcsőde álmennyezet lapok cseréje/pótlása</t>
  </si>
  <si>
    <t>Fűtési rendszer felújítása</t>
  </si>
  <si>
    <t>Tolnai utcai Óvoda</t>
  </si>
  <si>
    <t>Vörösmarty Mihály Általános Iskola</t>
  </si>
  <si>
    <t>Tornacsarnok nyílászáróinak és sportpadlójának cseréje</t>
  </si>
  <si>
    <t>Oromfal felújítás</t>
  </si>
  <si>
    <t>Konyha épületrész belső felújítási munkái tervdokumentáció alapján</t>
  </si>
  <si>
    <t>Háziorvosi és fogorvosi rendelő felújítása, fejlesztése</t>
  </si>
  <si>
    <t>önként</t>
  </si>
  <si>
    <t xml:space="preserve">         Alba Regia Teátrum Alapítvány a Vörösmarty Színházért</t>
  </si>
  <si>
    <t xml:space="preserve">     </t>
  </si>
  <si>
    <t>köt</t>
  </si>
  <si>
    <t xml:space="preserve">Pályázat előkészítésére és önerő keret </t>
  </si>
  <si>
    <t>Belvárosi Brunszvik T. Óvoda</t>
  </si>
  <si>
    <t>Gyöngyvirág Óvoda-Székesfehérvár-Kindergarten Maiglöckchen</t>
  </si>
  <si>
    <t>Rákóczi Úti Óvoda</t>
  </si>
  <si>
    <t>Tolnai Úti Óvoda</t>
  </si>
  <si>
    <t>~ ebből: Önként vállalt feladat e.i.</t>
  </si>
  <si>
    <t xml:space="preserve">           Összesen</t>
  </si>
  <si>
    <t xml:space="preserve">           Kötelező feladat összesen</t>
  </si>
  <si>
    <t xml:space="preserve">           Államigazgatási feladat összesen</t>
  </si>
  <si>
    <t xml:space="preserve">            Kötelező feladat összesen</t>
  </si>
  <si>
    <t>összes módosítás:</t>
  </si>
  <si>
    <t>Ell.</t>
  </si>
  <si>
    <t>~ Főösszeget nem érintő átcsoportosítás</t>
  </si>
  <si>
    <t xml:space="preserve">             Szociális ágazati összevont pótlék</t>
  </si>
  <si>
    <t xml:space="preserve">             Szociális ágazatban egészségügyi végzettséghez kötött munkakörben foglalkoztatottak egészségügyi kiegészítő pótléka</t>
  </si>
  <si>
    <t xml:space="preserve">            Költségvetési szerveknél foglalkoztatottak bérkompenzációja</t>
  </si>
  <si>
    <t xml:space="preserve">              Helyi közösségfejlesztés Székesfehérváron</t>
  </si>
  <si>
    <t xml:space="preserve">              Állatotthonok működési támogatása - HEROSZ Fehérvári Állatotthona</t>
  </si>
  <si>
    <t xml:space="preserve">              Magyarországi Zsidó Hitközségek Szövetsége</t>
  </si>
  <si>
    <t xml:space="preserve">              Magyar Máltai Szeretetszolgálat Egyesület</t>
  </si>
  <si>
    <t xml:space="preserve">              Ausztráliai tűzvész által okozott károk enyhítését célzó adományozásra</t>
  </si>
  <si>
    <t xml:space="preserve">              Év közben jelentkező, társadalmi kapcsolatokkal összefüggő kiadások</t>
  </si>
  <si>
    <t xml:space="preserve">              Magyar Szórvány Napja</t>
  </si>
  <si>
    <t>~ ebből:Települési támogatás</t>
  </si>
  <si>
    <t>Felújítási kiadások (költségvetési szerveket érintő felújítási, fejlesztési kiadások)</t>
  </si>
  <si>
    <t xml:space="preserve">              Alba Volán Zrt. 504/2012.(VIII.17.) kgy.hat. .I. 1. b. pontja alapján történő finanszírozására (jelenleg: Volánbusz Zrt.)</t>
  </si>
  <si>
    <t xml:space="preserve">              Ciszterci Szent István Gimnázium-2020. évi jubileumi programok</t>
  </si>
  <si>
    <t xml:space="preserve">              HPV 9 komponensű oltóanyag beszerzése a székesfehérvári lakóhellyel rendelkező 2020. évben 12. életévüket betöltő fiú gyermekek részére Humán Szolgáltató Intézeten keresztül</t>
  </si>
  <si>
    <t xml:space="preserve">              Házi gyermekorvosok és iskolaorvosok szolgálatának működtetése</t>
  </si>
  <si>
    <t xml:space="preserve">              Autizmussal élő fiatal felnőttek nappali ellátásának megszervezése</t>
  </si>
  <si>
    <t xml:space="preserve">              Kégl György Program: oltástámogatási program</t>
  </si>
  <si>
    <t xml:space="preserve">              Egészségügyi célú kiadások, év közben jelentkező többletfeladatok</t>
  </si>
  <si>
    <t xml:space="preserve">         Országos Diákparlament</t>
  </si>
  <si>
    <t xml:space="preserve">         Burján Zsigmond- "Szégyen" munkacímű filmalkotás felhasználási jogának megvásárlása</t>
  </si>
  <si>
    <t xml:space="preserve">         Kossuth udvari órajáték bővítése adventi időszakban</t>
  </si>
  <si>
    <t xml:space="preserve">         Kültéri természetfotó kiállítás Városház téren</t>
  </si>
  <si>
    <t xml:space="preserve">         XVI. Alba Regia Nemzetközi Gyermekkórus Fesztivál</t>
  </si>
  <si>
    <t xml:space="preserve">         Székesfehérvári Egyházmegye- Szent II. János Pál pápa szobor állítása</t>
  </si>
  <si>
    <t xml:space="preserve">         Székely Vásár</t>
  </si>
  <si>
    <t xml:space="preserve">         "Királyi utakon Horvátországban" című film elkészítéséhez támogatás</t>
  </si>
  <si>
    <t xml:space="preserve">             Fehérvár Sakk Sportegyesület</t>
  </si>
  <si>
    <t xml:space="preserve">            Bridge Club Székesfehérvár</t>
  </si>
  <si>
    <t xml:space="preserve">             Giro d'Italia székesfehérvári szakaszához kapcsolódó költségek</t>
  </si>
  <si>
    <t xml:space="preserve">             Alba Triatlon és Szabadidő Sprtegyesület - triatlon és futóverseny szervezése</t>
  </si>
  <si>
    <t>Fejlesztési kiadások 2020. évi feladatonkénti megbontása
(eFt-ban)</t>
  </si>
  <si>
    <t>Saára Gyula program - Útépítések, felújítások</t>
  </si>
  <si>
    <t>Saára Gyula progam - Útfelújítás viziközmű fejlesztési alaphoz kapcsolódó feladatai</t>
  </si>
  <si>
    <t>Saára Gyula program - Közlekedésbiztonság</t>
  </si>
  <si>
    <t>Saára Gyula program - Csapadékvíz elvezetése, árvíz-belvíz védekezés</t>
  </si>
  <si>
    <t>Saára Gyula és Ybl Miklós program végrehajtásához kapcsolódó feladatok</t>
  </si>
  <si>
    <t>Korlátozási kártalanítás, idegen ingatlanokon lévő viziközművek szolgalmi rendezése</t>
  </si>
  <si>
    <t>Saára Gyula program - Közösségi közlekedés fejlesztése</t>
  </si>
  <si>
    <t>Városüzemeltetéssel kapcsolatos feladatok</t>
  </si>
  <si>
    <t>Térinformatika</t>
  </si>
  <si>
    <t>Szemünk Fénye Program</t>
  </si>
  <si>
    <t>Csapadékelvezetés, Szennyvízelvezetés</t>
  </si>
  <si>
    <t>Székesfehérvár Város és Térsége Szennyvízcsatorna Hálózat Bővítési Önkormányzati Társulás 2020. évi önkormányzati önrésze</t>
  </si>
  <si>
    <t>Egyéb fejlesztések</t>
  </si>
  <si>
    <t>Arany János utca 10. szám alatti ingatlan felújításával kapcsolatos tervezési feladatok</t>
  </si>
  <si>
    <t>Jókai utca 2. épület fal sótlanítás és falszárítás dokumentáció</t>
  </si>
  <si>
    <t>Prohászka Ottokár út 32/a. épület bontási terve</t>
  </si>
  <si>
    <t>Székesfehérvár, Városház tér 1. szám alatti épület tartószerkezeti véleményezése, épületenergetika, elektromos felújítás költségbecslése</t>
  </si>
  <si>
    <t>Székesfehérvár 428 hrsz-ú ingatlanon álló épület építészeti, műszaki felmérése, hasznosítási elemzések</t>
  </si>
  <si>
    <t>Felsővárosi Tájház kialakítása – Kertalja utca II. ütem</t>
  </si>
  <si>
    <t>Székesfehérvár, Mura utca 2. ingatlanon elhelyezsére kerülő raktárkonténer telepítésének költsége és bérleti díja (654/2018.(X.12.) kgy.hat.alapján</t>
  </si>
  <si>
    <t>Elektromos gépjárművek beszerzése</t>
  </si>
  <si>
    <t>Királyi Bazilika köveinek elszállítása</t>
  </si>
  <si>
    <t xml:space="preserve">Országos Futópálya-építési Program (9196 hrsz.alatti Halesz ligetben) - 424/2019. (VI.21.) kgy.határozat alapján </t>
  </si>
  <si>
    <t>Kültéri kézilabdapálya építésére pályázati önrész biztosítása</t>
  </si>
  <si>
    <t>Kégl és Távirda utca felújítása</t>
  </si>
  <si>
    <t>Székesfehérvári Sóstó Természetvédelmi Terület és Vidámparki Csónakázótó rehabilitációjára, figyelemmel a 1285/2015.(IV.30.) Korm. határozatra, valamint a megvalósítás ütemezésére</t>
  </si>
  <si>
    <t>Multifunkcionális csarnok megvalósítása (teljes körű tervezés, előkészítés)</t>
  </si>
  <si>
    <t>Szent István Király Múzeum épületének rekonstrukciója előkészítése 1793/2017.(XI.8) Korm.hat.</t>
  </si>
  <si>
    <t>Szent István Király Múzeum épületének rekonstrukciója előkészítése - önerő kerete</t>
  </si>
  <si>
    <t>„Az ország bölcsője” kiemelt székesfehérvári alprogram első szakaszának megvalósításáról és a második szakasz egyes fejlesztési elemeinek bemutatásáról szóló 1469/2017. (VII.25.) Kormányhatározat értelmében</t>
  </si>
  <si>
    <t>Szent István Király Múzeum épületének rekonstrukciója megvalósítása 1006/2020.(I.29.) Korm.határozat értelmében</t>
  </si>
  <si>
    <t>Székesfehérvár Középiskolai Campus</t>
  </si>
  <si>
    <t>Berényi út felújítása II.ütem</t>
  </si>
  <si>
    <t>Déli összekötőút megépítése</t>
  </si>
  <si>
    <t>Déli összekötőút megépítése -  támogatói előleg visszautalása</t>
  </si>
  <si>
    <t>Zöld Város Fehérvár Tüdeje II.ütem</t>
  </si>
  <si>
    <t>Berényi II. ütem vízrendezése</t>
  </si>
  <si>
    <t>Távirda-Kégl Gy. utcai csapadékcsatorna rekonstrukciója</t>
  </si>
  <si>
    <t xml:space="preserve">Székesfehérvár területén fenntartható városi közlekedés fejlesztés </t>
  </si>
  <si>
    <t xml:space="preserve">Bartók Béla tér fejlesztése </t>
  </si>
  <si>
    <t>Költségvetési szerveket érintő felújítási, fejlesztési kiadások 2020. évben
(eFt-ban)</t>
  </si>
  <si>
    <t>Ybl Miklós-program: Intézményfelújítások, fejlesztések</t>
  </si>
  <si>
    <t>Kossuth Zsuzsanna Szociális Intézmény</t>
  </si>
  <si>
    <t>Kossuth Zsuzsanna Szociális Intézmény (korábbi ESZI székhelyintézmény) tetőtér beépítési munkáival készülő férőhely bővítés feladataira</t>
  </si>
  <si>
    <t>Kossuth Zsuzsanna Szociális Intézmény ((korábbi ESZI székhelyintézmény) villamos hálózat rekonstrukciója kiviteli terv alapján (tervezés és kivitelezés)</t>
  </si>
  <si>
    <t>Feketehegy-Szárazréti Idősek Otthona (korábbi III. számú Idősek Otthona, telephelyintézmény) lépcsőházi acél üvegportál cseréje műanyag szerkezetre, hőtükrös fóliázással</t>
  </si>
  <si>
    <t>Kossuth Zsuzsanna Szociális Intézmény (korábbi ESZI székhelyintézmény) villamoshálózat korszerűsítéséhez és a fűtési rendszer átalakításához, valamint az ingatlanon található 2. számú épület tetőtérbeépítésével kapcsolatos tervezési feladatok</t>
  </si>
  <si>
    <t>Feketehegy-Szárazréti Idősek Otthona (korábbi III. számú Idősek Otthona, telephelyintézmény)  tűzvédelmi átalakítás</t>
  </si>
  <si>
    <t>Hosszúsétatéri Idősek Otthona (korábbi II. számú Idősek Otthona, telephelyintézmény) homlokzati javítás</t>
  </si>
  <si>
    <t xml:space="preserve">Kríziskezelő Központ </t>
  </si>
  <si>
    <t>Kikindai utca 8. szám alatt lévő 1. számú és 3. számú lakás vizesblokkok felújítása, kazáncsere</t>
  </si>
  <si>
    <t>Medencetér felújítása</t>
  </si>
  <si>
    <t>TÁVHŐ szolgáltatáshoz új hőközpont építése</t>
  </si>
  <si>
    <t>Villamoshálózat korszerüsítése</t>
  </si>
  <si>
    <t xml:space="preserve">Székesfehérvári Tankerületi Központ </t>
  </si>
  <si>
    <t>Mészöly Géza utca 5. szám alatti rendelő</t>
  </si>
  <si>
    <t>Csók István Képtár homlokzatának helyreállítása, árkádsor alatti világítás kiépítése lépcső helyreállítással</t>
  </si>
  <si>
    <t>Városház tér 1-2. épület, Várkörút 1/a. épület karbantartás</t>
  </si>
  <si>
    <t>Tác Gorsium-épület körüli csapadékvíz elvezetési probléma megoldása</t>
  </si>
  <si>
    <t xml:space="preserve">Székesfehérvár, Bőrgyár u. 2. szám alatti ingatlan </t>
  </si>
  <si>
    <t>Tetőszerkezet cseréje</t>
  </si>
  <si>
    <t>Batthyány utca 12. szám alatti rendelő</t>
  </si>
  <si>
    <t>Ybl lakótelepi rendelő</t>
  </si>
  <si>
    <t>Szekfű Gyula utca 9. szám alatti rendelő</t>
  </si>
  <si>
    <t>2020. évi bevételei eFt-ban</t>
  </si>
  <si>
    <t>2020. évi kiadásai eFt-ban</t>
  </si>
  <si>
    <t>összevont 2020. évi bevételeiről eFt-ban</t>
  </si>
  <si>
    <t>összevont 2020. évi kiadásairól eFt-ban</t>
  </si>
  <si>
    <t>összevont 2020. évi bevételi és kiadási  egyenlege eFt-ban</t>
  </si>
  <si>
    <t xml:space="preserve">              Fejér Megyei Katasztrófavédelmi Igazgatóság - Polgári Védelmi Kirendeltségének 2020. évi támogatására</t>
  </si>
  <si>
    <t xml:space="preserve">             Felsővárosi Fésüs Röplabda Akadémia Fehérvár (234/2019. (IV.26.) kgy. határozat alapján</t>
  </si>
  <si>
    <t xml:space="preserve">             Kistelepülési könyvtári és közművelődési kiegészítő támogatás (Vörösmarty Mihály Könyvtár)</t>
  </si>
  <si>
    <t>Önkormányzat 2020. évi költségvetési kiadásai (eFt-ban)</t>
  </si>
  <si>
    <t>2020. évre áthúzódó
(4)</t>
  </si>
  <si>
    <t>2020. évi előirányzat     (5)</t>
  </si>
  <si>
    <t>Költségvetési szerveket érintő felújítási, fejlesztési kiadások</t>
  </si>
  <si>
    <t>önk</t>
  </si>
  <si>
    <t xml:space="preserve">              Alba Regia Szimfonikus Zenekar</t>
  </si>
  <si>
    <t>16, Irányító szervi támogatás folyósítása</t>
  </si>
  <si>
    <t>17, Finanszírozási kiadások összesen:</t>
  </si>
  <si>
    <t>15, Államháztartáson belüli megelőlegezések visszafizetése</t>
  </si>
  <si>
    <t>Mesevilág.Bölcsőde</t>
  </si>
  <si>
    <t>Szeder Bölcsőde</t>
  </si>
  <si>
    <t>Tündérkert Bölcsőde</t>
  </si>
  <si>
    <t>Alba Bástya  Család- és Gyermekjóléti Központ</t>
  </si>
  <si>
    <t>Székesfehérvári Közösségi és Kulturális Központ</t>
  </si>
  <si>
    <t>Költségvetési szervek 2020. évi kiadási előirányzata (eFt-ban)</t>
  </si>
  <si>
    <t>Mesevilág Bölcsőde</t>
  </si>
  <si>
    <t>Alba Bástya Család- és Gyermekjóléti Központ</t>
  </si>
  <si>
    <t>Nyitó pénzkészlet (maradvány nélkül)</t>
  </si>
  <si>
    <t>Bevétel-Kiadás különbözet havi bontásban (maradvány igénybevételével)</t>
  </si>
  <si>
    <t>8. Finanszírozási kiadások összesen:</t>
  </si>
  <si>
    <t>2, Irányító szervi támogatás folyósítása</t>
  </si>
  <si>
    <t>IV. Finanszírozási kiadások összesen (1+2)</t>
  </si>
  <si>
    <t>1, Államháztartáson belüli megelőlegezések visszafizetése</t>
  </si>
  <si>
    <t>Székesfehérvári közösségi közlekedési stratégia elkészítése, a közösségi közlekedéssel kapcsolatos feladatok</t>
  </si>
  <si>
    <t>2020. év</t>
  </si>
  <si>
    <t>2021. év</t>
  </si>
  <si>
    <t>2022. év</t>
  </si>
  <si>
    <t>2023. év</t>
  </si>
  <si>
    <t>További évek összesen</t>
  </si>
  <si>
    <t>g.=b.+…+f.</t>
  </si>
  <si>
    <t>I. Európai uniós és hazai forrásból megvalósuló projektekkel kapcsolatos kiadások</t>
  </si>
  <si>
    <t>Székesfehérvári Sóstó Természetvédelmi Terület és Vidámparki Csónakázótó rehabilitációjára, figyelemmel a 1285/2015.(IV.30.) Korm. Határozatra, valamint a megvalósítás ütemezésére</t>
  </si>
  <si>
    <t xml:space="preserve">Szekfű Gyula utcai rendelőépület fejlesztése </t>
  </si>
  <si>
    <t>Segítő Fehérvár program</t>
  </si>
  <si>
    <t>Helyi közösségfejlesztés Székesfehérváron</t>
  </si>
  <si>
    <t>Székesfehérvári Középiskolai Campus kialakítása</t>
  </si>
  <si>
    <t>Bartók Béla tér fejlesztése</t>
  </si>
  <si>
    <t>Zöld Város - Fehérvár Tüdeje II. ütem</t>
  </si>
  <si>
    <t>Szent István Király Múzeum épületének rekonstrukciója megvalósítása 1006/2020.(I.29) Korm.határozat alapján</t>
  </si>
  <si>
    <t>I. Európai uniós és hazai forrásból megvalósuló projektekkel kapcsolatos kiadások összesen</t>
  </si>
  <si>
    <t>II. Egyéb beruházási, felhalmozási kiadások</t>
  </si>
  <si>
    <t>Alba Geotrade Zrt. – központi közműnyilvántartás és alaptérkép vezetése</t>
  </si>
  <si>
    <t>II. Egyéb beruházási, felhalmozási kiadások összesen</t>
  </si>
  <si>
    <t>III. Helyi közösségi közlekedéssel kapcsolatos kiadások</t>
  </si>
  <si>
    <t>Alba Volán Zrt. - 2006. január 1. napjától 2012. december 31. napjáig terjedő időszak veszteségének kiegyenlése (jelenleg Volánbusz Zrt.)</t>
  </si>
  <si>
    <t>III. Helyi közösségi közlekedéssel kapcsolatos kiadások összesen</t>
  </si>
  <si>
    <t>Sportcsarnok, egyéb létesítmények, felszíni parkolók, zöldfelület építésének önkormányzati önrésze (233/2019.(IV.26.) kgy.hat.alapján)</t>
  </si>
  <si>
    <t>Sportcsarnok, egyéb létesítmények, felszíni parkolók, zöldfelület építésének önkormányzati önrésze 233/2019.(IV.26.) kgy.hat.alapján)</t>
  </si>
  <si>
    <t>Új Módosított előirányzat</t>
  </si>
  <si>
    <t>Önkormányzat I. módosított előirányzata</t>
  </si>
  <si>
    <t>Módosított előirányzat
(1)</t>
  </si>
  <si>
    <t>Új Módosított előírányzat
(3)=(1)+(2)</t>
  </si>
  <si>
    <t>Személyügyi  kiadások</t>
  </si>
  <si>
    <t>Nemzetiségi önkormányzatok</t>
  </si>
  <si>
    <t>Ssz.</t>
  </si>
  <si>
    <t>2019. évi alap maradványa</t>
  </si>
  <si>
    <t>Kamatbevétel 2020.</t>
  </si>
  <si>
    <t>Bírságok 2020.</t>
  </si>
  <si>
    <t>Talajterhelési díj 2020.</t>
  </si>
  <si>
    <t>Önkormányzati egyéb bevételből biztosított forrás</t>
  </si>
  <si>
    <t>2020. évi összes bevétel:</t>
  </si>
  <si>
    <t>Környezetvédelmi Nevelési Alap - szemléletformálást segítő előadások, pályázatok, pedagógiai továbbképzések támogatása</t>
  </si>
  <si>
    <t>1000 fa ültetése projekt</t>
  </si>
  <si>
    <t>Székesfehérvár zöldfelületi elemeinek növelése</t>
  </si>
  <si>
    <t>Környezetvédelmi program kidolgozása</t>
  </si>
  <si>
    <t>Környezetvédelmi feladatok összesen:</t>
  </si>
  <si>
    <t>Bankköltség, forgalmi jutalék</t>
  </si>
  <si>
    <t>Fel nem osztott keret</t>
  </si>
  <si>
    <t>Kiadások összesen:</t>
  </si>
  <si>
    <t>Előirányzat módosítás</t>
  </si>
  <si>
    <t>ÖNKÉNT</t>
  </si>
  <si>
    <t xml:space="preserve">   Sportcélok és feladatok</t>
  </si>
  <si>
    <t>~Bevétel miatti növekedés</t>
  </si>
  <si>
    <t>Állami hozzájárulás jogcíme</t>
  </si>
  <si>
    <t>2020. évi költségvetési törvény melléklete</t>
  </si>
  <si>
    <t>Támogatás mértéke (Ft)</t>
  </si>
  <si>
    <t>Jogosultság alapja (fő)</t>
  </si>
  <si>
    <t>2. sz. melléklet I.2.</t>
  </si>
  <si>
    <t>Nem közművel összegyűjtött háztartási szennyvíz ártalmatlanítása</t>
  </si>
  <si>
    <t>2. sz. melléklet II.1.</t>
  </si>
  <si>
    <t>Óvodapedagógusok és az óvodapedagógusok nevelőmunkáját közvetlenül segítők bértámogatása</t>
  </si>
  <si>
    <t>2. sz. melléklet II.2.</t>
  </si>
  <si>
    <t>Óvodaműködtetési támogatás</t>
  </si>
  <si>
    <t>2. sz. melléklet II.4.</t>
  </si>
  <si>
    <t>Kiegészítő támogatás az óvodapedagógusok és pedagógus szakképzettséggel rendelkező segítők minősítéséből adódó többletkiadásokhoz</t>
  </si>
  <si>
    <t>2. sz. melléklet II.5.</t>
  </si>
  <si>
    <t>Nemzetiségi pótlék</t>
  </si>
  <si>
    <t>2. sz. melléklet III.2.a)</t>
  </si>
  <si>
    <t>Család - és gyermekjóléti szolgálat</t>
  </si>
  <si>
    <t>2. sz. melléklet III.2.b)</t>
  </si>
  <si>
    <t>Család- és gyermekjóléti központ</t>
  </si>
  <si>
    <t>2. sz. melléklet III.2.c)</t>
  </si>
  <si>
    <t>Szociális étkeztetés</t>
  </si>
  <si>
    <t>2. sz. melléklet III.2.da)</t>
  </si>
  <si>
    <t>Házi segítségnyújtás-szociális segítség</t>
  </si>
  <si>
    <t>2. sz. melléklet III.2.db)</t>
  </si>
  <si>
    <t>Házi segítségnyújtás-személyi gondozás</t>
  </si>
  <si>
    <t>2. sz. melléklet III.2.f)</t>
  </si>
  <si>
    <t>Időskorúak nappali intézményi ellátása</t>
  </si>
  <si>
    <t>2. sz. melléklet III.2.g)</t>
  </si>
  <si>
    <t>Fogyatékos és demens személyek nappali intézményi ellátása</t>
  </si>
  <si>
    <t>2. sz. melléklet III.2.i)</t>
  </si>
  <si>
    <t>Hajléktalanok nappali intézményi ellátása</t>
  </si>
  <si>
    <t>2. sz. melléklet III.2.k)</t>
  </si>
  <si>
    <t>Hajléktalanok átmeneti intézményei</t>
  </si>
  <si>
    <t>2. sz. melléklet III.2.n)</t>
  </si>
  <si>
    <t>Óvodai és iskolai szociális segítő tevékenység támogatása</t>
  </si>
  <si>
    <t>2. sz. melléklet III.4.a)</t>
  </si>
  <si>
    <t>A települési önkormányzatok által biztosított egyes szociális szakosított ellátások, valamint a gyermekek átmeneti gondosásával kapcsolatos feladatok támogatása- A finanszírozás szempontjából elismert szakmai dolgozók bértámogatása</t>
  </si>
  <si>
    <t>2. sz. melléklet III.4.b)</t>
  </si>
  <si>
    <t>A települési önkormányzatok által biztosított egyes szociális szakosított ellátások, valamint a gyermekek átmeneti gondosásával kapcsolatos feladatok támogatása- Intézményüzemeltetési támogatás</t>
  </si>
  <si>
    <t>2. sz. melléklet III.5.aa)</t>
  </si>
  <si>
    <t>Intézményi gyermekétkeztetés támogatása - Az intézményi gyermekétkeztetés kapcsán az étkeztetési feladatot ellátók után járó bértámogatás</t>
  </si>
  <si>
    <t>2. sz. melléklet III.5.ab)</t>
  </si>
  <si>
    <t>Intézményi gyermekétkeztetés támogatása - Az intézményi gyermekétkeztetés üzemeltetési támogatása</t>
  </si>
  <si>
    <t>2. sz. melléklet III.5.b)</t>
  </si>
  <si>
    <t>A rászoruló gyermekek szünidei étkeztetésének támogatása</t>
  </si>
  <si>
    <t>2. sz. melléklet III.3.a)</t>
  </si>
  <si>
    <t>Bölcsőde, mini bölcsőde támogatása - A finanszírozás szempontjából elismert szakmai dolgozók bértámogatása</t>
  </si>
  <si>
    <t>2. sz. melléklet III.3.b)</t>
  </si>
  <si>
    <t>Bölcsődei üzemeltetési támogatás</t>
  </si>
  <si>
    <t xml:space="preserve">2. sz. melléklet IV.1.a) </t>
  </si>
  <si>
    <t>Megyeszékhely megyei jogú városok közművelődési feladatainak támogatása</t>
  </si>
  <si>
    <t>2. sz. melléklet IV.1.e)</t>
  </si>
  <si>
    <t>2. sz. melléklet összesen:</t>
  </si>
  <si>
    <t xml:space="preserve">3. sz. melléklet I.13.a) </t>
  </si>
  <si>
    <t>Települési önkormányzatok kulturális feladatainak kiegészítő támogatása -Megyei hatókörű városi múzeumok feladatainak támogatása</t>
  </si>
  <si>
    <t xml:space="preserve">3. sz. melléklet I.13.b) </t>
  </si>
  <si>
    <t>Települési önkormányzatok kulturális feladatainak kiegészítő támogatása - Megyei hatókörű városi könyvtárak feladatainak támogatása</t>
  </si>
  <si>
    <t xml:space="preserve">3. sz. melléklet I.13.g) </t>
  </si>
  <si>
    <t>Települési önkormányzatok kulturális feladatainak kiegészítő támogatása - Zeneművészeti szervezetek támogatása</t>
  </si>
  <si>
    <t>3. sz. melléklet I.13.e)</t>
  </si>
  <si>
    <t>Települési önkormányzatok kulturális feladatainak kiegészítő támogatása - Színházművészeti szervezetek támogatása</t>
  </si>
  <si>
    <t>3. sz. melléklet I.13.d)</t>
  </si>
  <si>
    <t>Települési önkormányzatok kulturális feladatainak kiegészítő támogatása - érdekeltségnövelő támogatás</t>
  </si>
  <si>
    <t>Székesfehérvár Mancz János Bölcsőde kialakítása</t>
  </si>
  <si>
    <t>~ Intézményhez lebontva</t>
  </si>
  <si>
    <t xml:space="preserve">   Jubileumi jutalom, jogszabályból fakadó személyi jellegű többlet kifizetések kerete</t>
  </si>
  <si>
    <t>~Intézményhez lebontva</t>
  </si>
  <si>
    <t>Módosított  előirányzat</t>
  </si>
  <si>
    <t xml:space="preserve"> Módosított előirányzat</t>
  </si>
  <si>
    <t>Módosíott előirányzat</t>
  </si>
  <si>
    <t>~ Főösszeget érintő saját hatáskörű átcsoportosítás</t>
  </si>
  <si>
    <t>Gyöngyvirág Óvoda-Székesfehérvár</t>
  </si>
  <si>
    <t>Kulturális ellátás összesen</t>
  </si>
  <si>
    <t>Több éves kihatással járó jelentősebb döntések</t>
  </si>
  <si>
    <t>(eFt-ban)</t>
  </si>
  <si>
    <t>4m ktgv.szervek oszlop (Ny.Ildi száma)</t>
  </si>
  <si>
    <t>Különbözet alapján</t>
  </si>
  <si>
    <t>11m</t>
  </si>
  <si>
    <t>11m.</t>
  </si>
  <si>
    <t xml:space="preserve">                  - ebből: osztalékbevétel</t>
  </si>
  <si>
    <t>11.m.</t>
  </si>
  <si>
    <t xml:space="preserve">            Önkormányzati feladatellátás és bevételkiesés fedezetére szolgáló keret</t>
  </si>
  <si>
    <t>Önerő keret (Székesfehérvár Megyei Jogú Város Önkormányzat Közgyűlése hatáskörében eljáró Székesfehérvár Megyei Jogú Város Polgármesterének 168/2020. (VI.02.) számú határozata alapján)</t>
  </si>
  <si>
    <t>Önkormányzat II. módosított előirányzata</t>
  </si>
  <si>
    <t xml:space="preserve">              V. Adventi Jótékonysági Futás és a IX. Székesfehérvári Jótékonysági Estély (764/2019.(XI.7.) kgy.hat.alapján)</t>
  </si>
  <si>
    <t>Csapadékvíz levezető cső csere</t>
  </si>
  <si>
    <t>Udvarfelújítási munkák</t>
  </si>
  <si>
    <t>Feketehegy-Szárazréti Idősek Otthona (korábbi III. számú Idősek Otthona, telephelyintézmény) villamos és gépészeti rendszerének felújításával kapcsolatos tervezési és kivitelezési feladatok, valamint a Maroshegyi Gondozási Központ (korábbi IV. számú Gondozási Központ, telephelyintézmény) bővítésével kapcsolatos tervezési feladatok</t>
  </si>
  <si>
    <t>Humán járvány megelőzése, következményeink elhárítása</t>
  </si>
  <si>
    <t>törölni</t>
  </si>
  <si>
    <t>Új bölcsöde létrehozása Székesfehérvár Maroshegy városrészben</t>
  </si>
  <si>
    <t>TOP 6.2.1-19 kódszámú pályázati felhívás keretében</t>
  </si>
  <si>
    <t>Székesfehérvár, Balatoni út felújítása 2020</t>
  </si>
  <si>
    <t>Arany János Óvoda, Általános Iskola, Szakiskola, Készségfejlesztő Iskola és Egységes Gyógypedagógiai Módszertani Intézménye - Felújítási munkálatokkal kapcsolatos feladatok</t>
  </si>
  <si>
    <t>Zentai Úti Általános Iskola</t>
  </si>
  <si>
    <t>Hétvezér Általános Iskola</t>
  </si>
  <si>
    <t>Arany János Óvoda, Általános Iskola, Szakiskola, Készségfejlesztő Iskola és Egységes Gyógypedagógiai Módszertani Intézménye - Udvar, gyermek vizesblokk (243/2020.(VII.15.) kgy.határozat alapján)</t>
  </si>
  <si>
    <t>Udvar (243/2020.(VII.15.) kgy.határozat alapján)</t>
  </si>
  <si>
    <t>kell a határozatszám? (KÉPES)</t>
  </si>
  <si>
    <t>Multifunkcionális csarnok - utak, záportározó engedélyes, kiviteli tervek és felhasználási jogok ajándékozása kapcsán felmerült ÁFA megfizetése</t>
  </si>
  <si>
    <t xml:space="preserve">              Kodolányi János Gimnázium - Felújítási és karbantartási munkálatok támogatása</t>
  </si>
  <si>
    <t xml:space="preserve">              Fehérvár Médiacentrum Kft.</t>
  </si>
  <si>
    <t>saját hatáskörű folyamatban</t>
  </si>
  <si>
    <t>Zöldbusz Mintaprojekt (422/2020.(X.16.) kgy.határozat alapján)</t>
  </si>
  <si>
    <t xml:space="preserve">   Szekfű Gyula utca 9. szám alatti rendelő - Háziorvosi és fogorvosi rendelő felújítása, fejlesztése</t>
  </si>
  <si>
    <t>Mártírok útja csapadékcsatorna felújítása II. szakasz</t>
  </si>
  <si>
    <t>Környezetvédemi Alap</t>
  </si>
  <si>
    <t>EuroVelo</t>
  </si>
  <si>
    <t xml:space="preserve">              Székesfehérvári Baptista Gyülekezet</t>
  </si>
  <si>
    <t xml:space="preserve">              Székesfehérvári Városi Polgárőrség</t>
  </si>
  <si>
    <t xml:space="preserve">              Alba Regia Polgárőr Egyesület</t>
  </si>
  <si>
    <t xml:space="preserve">              Önkormányzati városrészi tájékoztatás feladatai</t>
  </si>
  <si>
    <t xml:space="preserve">           KÖFÉM Oktatási és Közművelődési Központ Nonprofit Közhasznú Kft. - működési támogatás</t>
  </si>
  <si>
    <t>Kis Budai - Prohászka O. úti ivóvízvezeték rekonstrukció- bevételkiesés miatti önrész</t>
  </si>
  <si>
    <t>~ Bevétel miatti rendezés</t>
  </si>
  <si>
    <t>251 100 
+ 10 065 900</t>
  </si>
  <si>
    <t>Megyei hatókörű városi könyvtár kistelepülési könyvtári célú kiegészítő támogatása (KSZR)</t>
  </si>
  <si>
    <t xml:space="preserve">3. sz. melléklet I.2. </t>
  </si>
  <si>
    <t>A kéményseprő-ipari közszolgáltatás helyi önkormányzat általi ellátásának támogatása</t>
  </si>
  <si>
    <t>3. sz. melléklet I.10.i)</t>
  </si>
  <si>
    <t>Települési  önkormányzatok idegenforgalmi adóhoz kapcsolódó kiegészítő támogatása</t>
  </si>
  <si>
    <t>3. sz. melléklet 11.</t>
  </si>
  <si>
    <t>A költségvetési szerveknél foglalkoztatottak 2019. évi áthúzódó és 2020. évi kompenzációja</t>
  </si>
  <si>
    <t xml:space="preserve">3. sz. melléklet 12. </t>
  </si>
  <si>
    <t>Szociális ágazati összevont pótlék és egészségügyi kiegészítő pótlék</t>
  </si>
  <si>
    <t>3. sz. melléklet I.14.</t>
  </si>
  <si>
    <t>3. sz. melléklet II.4.b)</t>
  </si>
  <si>
    <t>3. számú melléklet összesen (A helyi önkormányzatok kiegészítő támogatásai)</t>
  </si>
  <si>
    <t xml:space="preserve">Szemléletformálást segítő ötletek - Smart Bin hulladékgyűjtő edények </t>
  </si>
  <si>
    <t>~ Főösszeget nem értintő átcsoportosítás</t>
  </si>
  <si>
    <t>kötváll</t>
  </si>
  <si>
    <t>szabad ei.</t>
  </si>
  <si>
    <t>kell az ei</t>
  </si>
  <si>
    <t>Tisztítsuk meg az országot program (Illegális hulladéklerakók felszámolása)</t>
  </si>
  <si>
    <t>Börgöndi repülőtér-fejlesztés megvalósításának megalapozásához előészítési, tervezési és egyéb kapcsolódó feladatok</t>
  </si>
  <si>
    <t>ok</t>
  </si>
  <si>
    <t>el évek:</t>
  </si>
  <si>
    <t>Déli összktg.</t>
  </si>
  <si>
    <t>O-N</t>
  </si>
  <si>
    <t>Kül felosztása</t>
  </si>
  <si>
    <t>B4+Int.</t>
  </si>
  <si>
    <t>B6+Int</t>
  </si>
  <si>
    <t>B7+Int</t>
  </si>
  <si>
    <t xml:space="preserve">   Nyugdíjazással kapcsolatos kifizetések</t>
  </si>
  <si>
    <t>~ Intézmánytől elvonás</t>
  </si>
  <si>
    <t>~Intézménytől elvonás</t>
  </si>
  <si>
    <t>12, Termőföld bérbeadásból származó jövedelem utáni SZJA</t>
  </si>
  <si>
    <t>B311</t>
  </si>
  <si>
    <t>13, Építményadó</t>
  </si>
  <si>
    <t>14, Vagyoni típusú adók összesen: (13)</t>
  </si>
  <si>
    <t>15, Iparűzési adó</t>
  </si>
  <si>
    <t>16, Értékesítési és forgalmi adók (15)</t>
  </si>
  <si>
    <t>17, Gépjárműadó</t>
  </si>
  <si>
    <t>18, Idegenforgalmi adó</t>
  </si>
  <si>
    <t>19, Talajterhelési díj</t>
  </si>
  <si>
    <t>20, Egyéb áruhasználati és szolgáltatási adók (18+19)</t>
  </si>
  <si>
    <t>21, Termékek és szolgáltatások adói összesen (16+17+20):</t>
  </si>
  <si>
    <t>22, Adópótlék, adóbírság</t>
  </si>
  <si>
    <t>23, Szabálysértési pénz és helyszíni bírság és közigazgatási bírság</t>
  </si>
  <si>
    <t>24, Egyéb bírság</t>
  </si>
  <si>
    <t>25, Egyéb közhatalmi bevételek összesen (22+23+24):</t>
  </si>
  <si>
    <t>26, Közhatalmi bevételek összesen (12+14+21+25):</t>
  </si>
  <si>
    <t>27, Működési bevételek</t>
  </si>
  <si>
    <t>28, Ingatlanok értékesítése</t>
  </si>
  <si>
    <t>30, Működési célú átvett pénzeszközök</t>
  </si>
  <si>
    <t>31, Felhalmozási célú átvett pénzeszközök</t>
  </si>
  <si>
    <t>32, Működési költségvetési bevételek összesen (8+26+27+30):</t>
  </si>
  <si>
    <t>33, Felhalmozási költségvetési bevételek összesen (11+29+31):</t>
  </si>
  <si>
    <t>32, Költségvetési bevételek összesen (32+33):</t>
  </si>
  <si>
    <t>B5+Int</t>
  </si>
  <si>
    <t>Intézmény K6-K7</t>
  </si>
  <si>
    <t>Felh ir.sz</t>
  </si>
  <si>
    <t>Költségvetési szervek 2020. évi kiadási előirányzatán</t>
  </si>
  <si>
    <t>belül a kiemlelt dologi előirányzatok (e Ft-ban)</t>
  </si>
  <si>
    <t xml:space="preserve">Energia </t>
  </si>
  <si>
    <t>Energia ÁFA</t>
  </si>
  <si>
    <t>Élelmezés</t>
  </si>
  <si>
    <t>Élelmezés  ÁFA</t>
  </si>
  <si>
    <t xml:space="preserve"> Tündérkert Bölcsőde</t>
  </si>
  <si>
    <t>Humán Szolgáltatás összesen</t>
  </si>
  <si>
    <t>Intézmények összesen :</t>
  </si>
  <si>
    <t>Polgármesteri Hivatallal mindösszesen</t>
  </si>
  <si>
    <t>28/a, Ingóságok értékesítése</t>
  </si>
  <si>
    <t>Módosított kiadások:</t>
  </si>
  <si>
    <t>Módosított bevételek:</t>
  </si>
  <si>
    <t>Természeti értékek megőrzése és fenntartása Székesfehérvár Városgondnoksága Kft. és az Önkormányzat közötti megállapodásban rögzítettek alapján közterületen álló fák pótlására (Üzleti terv módosításhoz bevétel átvezetése a 6. pont terhére)</t>
  </si>
  <si>
    <t>Székesfehérvári Közösségi  és Kulturális Központ</t>
  </si>
  <si>
    <t xml:space="preserve">            Kulturális illetménypótlék (jogszabály szerinti beépülő bérelemmel)</t>
  </si>
  <si>
    <t>Önkormányzat III. módosított előirányzata</t>
  </si>
  <si>
    <t>Adomány a Környezetvédemi Alap részére</t>
  </si>
  <si>
    <t>Faültetés, zöldfelület-fejlesztés a befizetett adományból</t>
  </si>
  <si>
    <t>Az Árpád-ház Program részét képező, "Az ország bölcsője" kiemelt székesfehérvári alprogram keretében az Aranybulla-emlékmű és környezetének méltó helyreállítása</t>
  </si>
  <si>
    <t xml:space="preserve">   Járásszékhely múzeumok szakmai támogatása</t>
  </si>
  <si>
    <t xml:space="preserve">              MOL Aréna Sóstó üzemeltetési feladatainak ellátására (Székesfehérvári Városfejlesztési Kft)</t>
  </si>
  <si>
    <t xml:space="preserve">               Ingatlanvásárlások és üzletrész vásárlások kerete</t>
  </si>
  <si>
    <t>10m-11m</t>
  </si>
  <si>
    <t xml:space="preserve">   Intézményi kafetéria juttatás fedezetére (különbözet)</t>
  </si>
  <si>
    <t xml:space="preserve">~ ebből: Helyi közösségi közlekedés finanszírozási kerete </t>
  </si>
  <si>
    <t>~ Béren kívüli juttatás 9-12 hónapok várható és tényadat különbözet rendezése</t>
  </si>
  <si>
    <t>2020. évi előirányzat-felhasználási terv (eFt-ban)</t>
  </si>
  <si>
    <t>V. módosítás</t>
  </si>
  <si>
    <t>Önkormányzat IV. módosított előirányzata</t>
  </si>
  <si>
    <t xml:space="preserve">   Önkormányzati feladatellátás és bevételkiesés fedezetére szolgáló keret (Bérfejlesztési támogatás)</t>
  </si>
  <si>
    <t xml:space="preserve">   Önkormányzati feladatellátás és bevételkiesés fedezetére szolgáló keret (Székesfehérvár Város és Térsége Szennyvízcsatorna Hálózat Bővítési Önkormányzati Társulás 2020. évi önkormányzati önrésze - visszautalása)</t>
  </si>
  <si>
    <t>10.m</t>
  </si>
  <si>
    <t>11.m</t>
  </si>
  <si>
    <t xml:space="preserve">   Börgöndi repülőtér-fejlesztés megvalósításának megalapozásához előészítési, tervezési és egyéb kapcsolódó feladatok</t>
  </si>
  <si>
    <t xml:space="preserve">   Önkormányzati feladatellátás és bevételkiesés fedezetére szolgáló keret (Ybl lakótelepi rendelőépület gyermekorvosi rendelő és védőnői tanácsadó felújítása )</t>
  </si>
  <si>
    <t xml:space="preserve">    Önkormányzati feladatellátás és bevételkiesés fedezetére szolgáló keret (Fejlesztési kiadások -Zöld Város Fehérvár Tüdeje II.ütem )</t>
  </si>
  <si>
    <t xml:space="preserve">    Önkormányzati feladatellátás és bevételkiesés fedezetére szolgáló keret (Felújítási kiadások -  Szekfű Gyula utca 9. szám alatti rendelő - Háziorvosi és fogorvosi rendelő felújítása, fejlesztése)</t>
  </si>
  <si>
    <t xml:space="preserve">   Zöld Város Fehérvár Tüdeje II.ütem</t>
  </si>
  <si>
    <t xml:space="preserve">    Önkormányzati feladatellátás és bevételkiesés fedezetére szolgáló keret (Közlekedési kiadások)</t>
  </si>
  <si>
    <t xml:space="preserve">   Közlekedési kiadások (Önkormányzati Informatikai Kft-nek továbbszámlázott kamerák üzemeltetési költsége)</t>
  </si>
  <si>
    <t>elrejteni</t>
  </si>
  <si>
    <t>TOP-6.5.1-19-SF1-2020-00001 Székesfehérvár Megyei Jogú Város Polgármesteri Hivatal Városház tér 1. szám alatti épületének teljeskörű épületenergetikai korszerűsítése</t>
  </si>
  <si>
    <t>TOP-6.5.1-19-SF1-2020-00002 Épületek energetikai korszerűsítése</t>
  </si>
  <si>
    <t>Klímastratégia létrehozása és szemléletformálás Székesfehérváron</t>
  </si>
  <si>
    <t>Móri út felújítása</t>
  </si>
  <si>
    <t>WiFi4EU – az internetkapcsolat helyi közösségekben történő előmozdítása</t>
  </si>
  <si>
    <t>19. melléklet</t>
  </si>
  <si>
    <t>Projekt megnevezése</t>
  </si>
  <si>
    <t>Státusz</t>
  </si>
  <si>
    <t>Projekt összköltség</t>
  </si>
  <si>
    <t>2015. évi támogatás</t>
  </si>
  <si>
    <t>2016. évi támogatás</t>
  </si>
  <si>
    <t>2017. évi támogatás</t>
  </si>
  <si>
    <t>2018. évi támogatás</t>
  </si>
  <si>
    <t>2019. évi támogatás</t>
  </si>
  <si>
    <t>2020. évi támogatás</t>
  </si>
  <si>
    <t>2021. évi támogatás</t>
  </si>
  <si>
    <t>2022. évi támogatás</t>
  </si>
  <si>
    <t>2023. évi támogatás</t>
  </si>
  <si>
    <t>Önerő</t>
  </si>
  <si>
    <t>számított Önerő</t>
  </si>
  <si>
    <t>Támogatás össz</t>
  </si>
  <si>
    <t>EU-s forrás</t>
  </si>
  <si>
    <t>Hazai forrás</t>
  </si>
  <si>
    <t>Felsőváros vízrendezése I. ütem</t>
  </si>
  <si>
    <t>Projektzárás alatt</t>
  </si>
  <si>
    <t>Felsőváros vízrendezése II. üteme</t>
  </si>
  <si>
    <t xml:space="preserve">Rákóczi Utcai Óvoda </t>
  </si>
  <si>
    <t>Kisléptékű közlekedési célú fejlesztés a munkaerő mobilitás és a gazdaságfejlesztés érdekében</t>
  </si>
  <si>
    <t>Helyi foglalkoztatási együttműködések Székesfehérvár és járása területén</t>
  </si>
  <si>
    <t>Végrehajtás alatt</t>
  </si>
  <si>
    <t xml:space="preserve">Maroshegyi Óvoda bővítése </t>
  </si>
  <si>
    <t>Berényi út felújításának II. üteme</t>
  </si>
  <si>
    <t>Székesfehérvári Stadionrekonstrukciós program megvalósítására, figyelemmel a 1285/2015.(IV.30.) Korm. Határozatra, valamint a megvalósítás ütemezésére * (nettó finanszírozás)</t>
  </si>
  <si>
    <t>Visszalépés</t>
  </si>
  <si>
    <t xml:space="preserve">Távirda-Kégl Gy. utcai csapadékcsatorna rekonstrukciója </t>
  </si>
  <si>
    <t>Új: 6.5.1.-19 Innovatív Szociális Szolgáltató Központ épületenergetikai korszerűsítése és a SECAP akcióterv kidolgozása</t>
  </si>
  <si>
    <t>Bölcsődei intézmények eszközfejlesztése</t>
  </si>
  <si>
    <t>Árpád-ház programhoz kapcsolódó tervezési, előkészítési feladatok figyelemmel az 1315/2016.(VII.1.) Korm.határozatra</t>
  </si>
  <si>
    <t>Ybl lakótelepi rendelő - Gyermekorvosi rendelő és védőnői tanácsadó átalakítása, bővítése, felújítása a TOP 6.2.1-16 kódszámú pályázati felhívás keretében</t>
  </si>
  <si>
    <t>Batthyány utca 12. szám alatti rendelő - Felnőtt háziorvosi rendelő felújítása</t>
  </si>
  <si>
    <t>Szekfű Gyula utca 9. szám alatti rendelőt - Háziorvosi és fogorvosi rendelő felújítása, fejlesztése</t>
  </si>
  <si>
    <t>Százszorszép Bölcsőde felújítása -Épület felújítása és eszközbeszerzés a TOP 6.6.1-16 kódszámú pályázati felhívás keretében</t>
  </si>
  <si>
    <t>Szent István Király Múzeum épületének rekonstrukciója előkészítése 1793/2017.(XI.8)Korm.hat.</t>
  </si>
  <si>
    <t xml:space="preserve">Székesfehérvár területén fenntartható városi közlekedésfejlesztés </t>
  </si>
  <si>
    <t>34.</t>
  </si>
  <si>
    <t>35.</t>
  </si>
  <si>
    <t>36.</t>
  </si>
  <si>
    <t>„Az ország bölcsője” kiemelt székesfehérvári alprogram első szakaszának megvalósításáról és a második szakasz egyes fejlesztési elemeinek bemutatásáról szóló 1469/2017. (VII.25.) értelmében</t>
  </si>
  <si>
    <t>37.</t>
  </si>
  <si>
    <t>Az Árpád-ház Program részét képező, "Az ország bölcsője" kiemelt székesfehérvári alprogram keretében az Aranybulla-emlékmű és környezetének méltó helyreállítása.</t>
  </si>
  <si>
    <t>38.</t>
  </si>
  <si>
    <t>Zöld város - Fehérvár Tüdeje II. ütem</t>
  </si>
  <si>
    <t>39.</t>
  </si>
  <si>
    <t>40.</t>
  </si>
  <si>
    <t>41.</t>
  </si>
  <si>
    <t>42.</t>
  </si>
  <si>
    <t>Euro Velo-14 kerékpárút kijelölése bevétel</t>
  </si>
  <si>
    <t>43.</t>
  </si>
  <si>
    <t>44.</t>
  </si>
  <si>
    <t>45.</t>
  </si>
  <si>
    <t>46.</t>
  </si>
  <si>
    <t>Zölbusz Mintaprojekt (422/2020.(X.16.) kgy.határozat alapján</t>
  </si>
  <si>
    <t>47.</t>
  </si>
  <si>
    <t>48.</t>
  </si>
  <si>
    <t>49.</t>
  </si>
  <si>
    <t>50.</t>
  </si>
  <si>
    <t>Új Bölcsőde létrehozása Székesfehérvár Maroshegy városrészben</t>
  </si>
  <si>
    <t>* megjegyzés: a projekt összege Áfá-t nem tartalmaz.</t>
  </si>
  <si>
    <t xml:space="preserve"> a 5/2020. (II.17.) önkormányzati rendelethez</t>
  </si>
  <si>
    <t>Természeti értékek megőrzése és fenntartása Székesfehérvár Városgondnoksága Kft. és az Önkormányzat közötti megállapodásban rögzítettek alapján közterületen álló fák pótlására (Üzleti terv módosítás a 12. sor terhére)</t>
  </si>
  <si>
    <t>V.R.mód</t>
  </si>
  <si>
    <t xml:space="preserve">   Önkormányzati feladatellátás és bevételkiesés fedezetére szolgáló keret (Utcai szociális munka támogatása)</t>
  </si>
  <si>
    <t xml:space="preserve">   Önkormányzati feladatellátás és bevételkiesés fedezetére szolgáló keret (Segítő Fehérvár Program)</t>
  </si>
  <si>
    <t xml:space="preserve">   Önkormányzati feladatellátás és bevételkiesés fedezetére szolgáló keret (Fogászati és iskolafogászati ellátás biztosítására szolgáló épület és központi berendezéseinek felújításához és karbantartásához való hozzájárulás (Zámoly Község Önkormányzat feladatellátási szerződés alapján))</t>
  </si>
  <si>
    <t xml:space="preserve">   Önkormányzati feladatellátás és bevételkiesés fedezetére szolgáló keret (Ifjúsági feladatok és a szfvári diáktanács)</t>
  </si>
  <si>
    <t xml:space="preserve">   Önkormányzati feladatellátás és bevételkiesés fedezetére szolgáló keret (Bölcsődei intézmények eszközfejlesztése)</t>
  </si>
  <si>
    <t xml:space="preserve">   Önkormányzati feladatellátás és bevételkiesés fedezetére szolgáló keret (Termőföld bérbeadásából származó jövedelem utáni SZJA)</t>
  </si>
  <si>
    <t xml:space="preserve">   Önkormányzati feladatellátás és bevételkiesés fedezetére szolgáló keret (Építményadó)</t>
  </si>
  <si>
    <t xml:space="preserve">   Önkormányzati feladatellátás és bevételkiesés fedezetére szolgáló keret (Iparűzési adó)</t>
  </si>
  <si>
    <t xml:space="preserve">             Alba Volán Sporclub -  Öttusa Európa Bajnokság</t>
  </si>
  <si>
    <t xml:space="preserve">   Önkormányzati feladatellátás és bevételkiesés fedezetére szolgáló keret (Idegenforgalmi adó)</t>
  </si>
  <si>
    <t xml:space="preserve">   Önkormányzati feladatellátás és bevételkiesés fedezetére szolgáló keret (Távolléti közigazgatási helyszíni bírság)</t>
  </si>
  <si>
    <t xml:space="preserve">   Önkormányzati feladatellátás és bevételkiesés fedezetére szolgáló keret (Közigazgatási helyszíni bírság)</t>
  </si>
  <si>
    <t xml:space="preserve">   Önkormányzati feladatellátás és bevételkiesés fedezetére szolgáló keret (Közigazgatási bírság)</t>
  </si>
  <si>
    <t xml:space="preserve">   Önkormányzati feladatellátás és bevételkiesés fedezetére szolgáló keret (Egyéb bevételek)</t>
  </si>
  <si>
    <t xml:space="preserve">   Önkormányzati feladatellátás és bevételkiesés fedezetére szolgáló keret (Készletértékesítés)</t>
  </si>
  <si>
    <t xml:space="preserve">   Önkormányzati feladatellátás és bevételkiesés fedezetére szolgáló keret (Ingatlanok értékesítése)</t>
  </si>
  <si>
    <t xml:space="preserve">   Önkormányzati feladatellátás és bevételkiesés fedezetére szolgáló keret (Videoton Zrt. Ingatlancsere (372/2018. (V.18.) kgy.hat))</t>
  </si>
  <si>
    <t xml:space="preserve">   Önkormányzati feladatellátás és bevételkiesés fedezetére szolgáló keret (Önkormányzati lakások értékesítése)</t>
  </si>
  <si>
    <t xml:space="preserve">   Önkormányzati feladatellátás és bevételkiesés fedezetére szolgáló keret (Elektronikai eszközök értékesítése)</t>
  </si>
  <si>
    <t xml:space="preserve">   Önkormányzati feladatellátás és bevételkiesés fedezetére szolgáló keret (Köztemetés költségeinek megtérülése)</t>
  </si>
  <si>
    <t xml:space="preserve">   Önkormányzati feladatellátás és bevételkiesés fedezetére szolgáló keret (Fehérvári Programszervező Kft. által visszautalt pótbefizetés)</t>
  </si>
  <si>
    <t>b7</t>
  </si>
  <si>
    <t xml:space="preserve">   Önkormányzati feladatellátás és bevételkiesés fedezetére szolgáló keret (Helyi lakáscélú támogatás törlesztése)</t>
  </si>
  <si>
    <t xml:space="preserve">   Önkormányzati feladatellátás és bevételkiesés fedezetére szolgáló keret (Belvárosi épületek rekonstrukcióját szolgáló fejlesztési alap (visszatérítendő támogatás))</t>
  </si>
  <si>
    <t xml:space="preserve">   Önkormányzati feladatellátás és bevételkiesés fedezetére szolgáló keret (Megszűnt viziközmű társulatoknak lakosság által törlesztett közműfejlesztési hozzájárulás)</t>
  </si>
  <si>
    <t xml:space="preserve">   Önkormányzati feladatellátás és bevételkiesés fedezetére szolgáló keret (Finn és Osztrák utca felújítása)</t>
  </si>
  <si>
    <t xml:space="preserve">   Önkormányzati feladatellátás és bevételkiesés fedezetére szolgáló keret (Öreghegyi viziközmű társulat )</t>
  </si>
  <si>
    <t xml:space="preserve">   Önkormányzati feladatellátás és bevételkiesés fedezetére szolgáló keret (Alsóvárosi viziközmű társulat)</t>
  </si>
  <si>
    <t xml:space="preserve">   Önkormányzati feladatellátás és bevételkiesés fedezetére szolgáló keret (Feketehegy viziközmű bevétel)</t>
  </si>
  <si>
    <t xml:space="preserve">   Önkormányzati feladatellátás és bevételkiesés fedezetére szolgáló keret (Intézményfelújítás megállapodás alapján)</t>
  </si>
  <si>
    <t xml:space="preserve">   Önkormányzati feladatellátás és bevételkiesés fedezetére szolgáló keret (KÉPES program támogatás)</t>
  </si>
  <si>
    <t xml:space="preserve">   Környezetvédemi Alap</t>
  </si>
  <si>
    <t xml:space="preserve">   Önkormányzati feladatellátás és bevételkiesés fedezetére szolgáló keret (Adópótlék, adóbírság)</t>
  </si>
  <si>
    <t xml:space="preserve">   Önkormányzati feladatellátás és bevételkiesés fedezetére szolgáló keret (Önkormányzati lakások és nem lakás c. helyiségek bérleti díja)</t>
  </si>
  <si>
    <t xml:space="preserve">   Önkormányzati feladatellátás és bevételkiesés fedezetére szolgáló keret (Üzlet felépítmény alatti földingatlan bérleti díj)</t>
  </si>
  <si>
    <t xml:space="preserve">   Lakás bérleti díj</t>
  </si>
  <si>
    <t xml:space="preserve">   Önkormányzati feladatellátás és bevételkiesés fedezetére szolgáló keret (Egyéb bérleti díjak )</t>
  </si>
  <si>
    <t xml:space="preserve">   Önkormányzati feladatellátás és bevételkiesés fedezetére szolgáló keret (Földhasználati díj/garázs alatti)</t>
  </si>
  <si>
    <t xml:space="preserve">   Önkormányzati feladatellátás és bevételkiesés fedezetére szolgáló keret (Fehérvár AV 19 Sport Club bérleti díj)</t>
  </si>
  <si>
    <t xml:space="preserve">   Önkormányzati feladatellátás és bevételkiesés fedezetére szolgáló keret (Haszonbérleti díj)</t>
  </si>
  <si>
    <t xml:space="preserve">   Önkormányzati feladatellátás és bevételkiesés fedezetére szolgáló keret (Házasságkötéssel kapcsolatos bevételek)</t>
  </si>
  <si>
    <t xml:space="preserve">   Önkormányzati feladatellátás és bevételkiesés fedezetére szolgáló keret (Sóstói Stadion Kilátó bérleti díj)</t>
  </si>
  <si>
    <t xml:space="preserve">   Önkormányzati feladatellátás és bevételkiesés fedezetére szolgáló keret (Sóstói Stadion bérleti díj - mérkőzések után)</t>
  </si>
  <si>
    <t xml:space="preserve">   Önkormányzati feladatellátás és bevételkiesés fedezetére szolgáló keret (Sóstói Stadion bérlet bevétel, jegybevétel)</t>
  </si>
  <si>
    <t xml:space="preserve">   Önkormányzati feladatellátás és bevételkiesés fedezetére szolgáló keret (Sóstói Stadion bérleti díj )</t>
  </si>
  <si>
    <t xml:space="preserve">   Önkormányzati feladatellátás és bevételkiesés fedezetére szolgáló keret (Sóstói Stadion bérleti díj  - sajtókonferencia terem)</t>
  </si>
  <si>
    <t xml:space="preserve">   Önkormányzati feladatellátás és bevételkiesés fedezetére szolgáló keret (VG Kft.vendéglátási célú bérleti díj)</t>
  </si>
  <si>
    <t xml:space="preserve">   Önkormányzati feladatellátás és bevételkiesés fedezetére szolgáló keret (Szennyvíz-csatorna hálózatra történő utólagos csatlakozási díj)</t>
  </si>
  <si>
    <t xml:space="preserve">   Önkormányzati feladatellátás és bevételkiesés fedezetére szolgáló keret (Mura u. 4/A-B-C sz. lakóépületek központi fűtés)</t>
  </si>
  <si>
    <t xml:space="preserve">   Önkormányzati feladatellátás és bevételkiesés fedezetére szolgáló keret (Városfejlesztési Kft Mol Stadion Sóstó)</t>
  </si>
  <si>
    <t xml:space="preserve">   Önkormányzati feladatellátás és bevételkiesés fedezetére szolgáló keret (Közvetített szolgáltatások ellenértéke)</t>
  </si>
  <si>
    <t xml:space="preserve">   Víziközmű-fejlesztési Alap</t>
  </si>
  <si>
    <t xml:space="preserve">   Önkormányzati feladatellátás és bevételkiesés fedezetére szolgáló keret (Kártalanítás (elektromos vezetékek elhelyezéséből eredő, és ingatlanok miatti közműkártalanítás))</t>
  </si>
  <si>
    <t xml:space="preserve">   Önkormányzati feladatellátás és bevételkiesés fedezetére szolgáló keret (Ingatlanok igénybevétel miatti közműkártalanítás)</t>
  </si>
  <si>
    <t xml:space="preserve">   Önkormányzati feladatellátás és bevételkiesés fedezetére szolgáló keret (Földterület használati díj)</t>
  </si>
  <si>
    <t xml:space="preserve">   Önkormányzati feladatellátás és bevételkiesés fedezetére szolgáló keret (Rekreációs célú földhasználati díj)</t>
  </si>
  <si>
    <t xml:space="preserve">   Önkormányzati feladatellátás és bevételkiesés fedezetére szolgáló keret (Sóstói Stadion bérleti díj  - catering)</t>
  </si>
  <si>
    <t xml:space="preserve">   Önkormányzati feladatellátás és bevételkiesés fedezetére szolgáló keret (Áfa pénzügyi elszámolása)</t>
  </si>
  <si>
    <t xml:space="preserve">   Önkormányzati feladatellátás és bevételkiesés fedezetére szolgáló keret (Kamatbevétel)</t>
  </si>
  <si>
    <t xml:space="preserve">   Önkormányzati feladatellátás és bevételkiesés fedezetére szolgáló keret (Egyéb saját bevételek)</t>
  </si>
  <si>
    <t xml:space="preserve">    Reprezentációs kiadások Polgármester</t>
  </si>
  <si>
    <t xml:space="preserve">   Személyi juttatás Polgármester, Alpolgármesterek</t>
  </si>
  <si>
    <t xml:space="preserve">   Megbízási díj</t>
  </si>
  <si>
    <t xml:space="preserve">   Palotavárosi tavak sport és rekreációs célú hasznosítása</t>
  </si>
  <si>
    <t xml:space="preserve">   Székesfehérvári közösségi közlekedési stratégia elkészítése, a közösségi közlekedéssel kapcsolatos feladatok</t>
  </si>
  <si>
    <t xml:space="preserve">   Saára Gyula program - Közlekedésbiztonság (EuroVelo - 14 Kerékpárút kijelölése)</t>
  </si>
  <si>
    <t xml:space="preserve">   </t>
  </si>
  <si>
    <t xml:space="preserve">   Könyvkiadás</t>
  </si>
  <si>
    <t xml:space="preserve">   Polgármesteri keret</t>
  </si>
  <si>
    <t xml:space="preserve">   Képviselői Alap</t>
  </si>
  <si>
    <t>5/a. Államháztartáson belüli megelőlegezések</t>
  </si>
  <si>
    <t>B814</t>
  </si>
  <si>
    <t>7. Finanszírozási bevételek összesen (5+5/a.+6):</t>
  </si>
  <si>
    <t>II. Finanszírozási bevételek összesen (1+2+3)</t>
  </si>
  <si>
    <t>3. Államháztartáson belüli megelőlegezések</t>
  </si>
  <si>
    <t>B53</t>
  </si>
  <si>
    <t>28/b, Egyéb tárgyi eszköz  értékesítése</t>
  </si>
  <si>
    <t>~ Előző évek maradványának rendezése  (Önkormányzat)</t>
  </si>
  <si>
    <t xml:space="preserve">    Önkormányzati feladatellátás és bevételkiesés fedezetére szolgáló keret (Államháztartáson belüli megelőlegezések)</t>
  </si>
  <si>
    <t xml:space="preserve">   Költségvetési szerveknél foglalkoztatottak bérkompenzációja</t>
  </si>
  <si>
    <t xml:space="preserve">   Költségvetési szervek működési költségeinek  tartalék kerete, valamint az új illetve átszervezéssel érintett intézmények megalakulásával és átszervezésével kapcsolatos eseti költségeinek fedezetére (2019. évi maradvány korrekció a 4/2013.(I.11.) Kormányrendelet 56/A §-a alapján)</t>
  </si>
  <si>
    <t xml:space="preserve">   Költségvetési szervek működési költségeinek  tartalék kerete, valamint az új illetve átszervezéssel érintett intézmények megalakulásával és átszervezésével kapcsolatos eseti költségeinek fedezetére (PH bevétel miatti előirányzat rendezés)</t>
  </si>
  <si>
    <t xml:space="preserve">   Képviselői Alap (Csala községi tér programjainak, rendezvényeinek megvalósításához kapcsolódó 2020. nov.1-2021. dec. 31. között felmerülő dologi költségekre - SZKKK)</t>
  </si>
  <si>
    <t>29, Felhalmozási bevételek összesen (28+28/a+28/b):</t>
  </si>
  <si>
    <t>~ Bérkompenzáció 11-12 havi különbözetének elszámolása</t>
  </si>
  <si>
    <t>~ Jogszabályból fakadó személyi jellegű többletkifizetések (jubileumi jutalom, szabadságmegváltás, dupla bér)</t>
  </si>
  <si>
    <t>~ Az intézmény által megvalósításra kerülő programokhoz és tárgyi eszköz beszerzésekhez kapcsolódó 2020. január 1. és 2021. június 30 .napja között felmerülő személyi és dologi költségekhez (Képviselői Alap)  korrekció</t>
  </si>
  <si>
    <t>~ Nyugdíjazáshoz kapcsolódó kifizetések</t>
  </si>
  <si>
    <t>~ 2019. évi Képviselői keret 2020. évben fel nem használt része - visszavonás</t>
  </si>
  <si>
    <t>~ Béren kívüli juttatás 9-12 hónapok várható és tényadat különbözetének rendezése</t>
  </si>
  <si>
    <t>~ NKA pályázat fel nem használt részének visszautalásához kapcsolódó előirányzat rendezés</t>
  </si>
  <si>
    <t xml:space="preserve">~ Intézményvezető saját hatáskörű előirányzat módosítása - átvett pénzeszköz előirányzat rendezése </t>
  </si>
  <si>
    <t>~ 2020. évi fel nem használt képviselői keret visszavonása (Katolikus Legényegylet 2020. évi programjaira)</t>
  </si>
  <si>
    <t>~ 2020. évi fel nem használt képviselői keret visszavonása (A "Nem csak a 20 éveseké a világ nyugdíjas klub  2020 .évi programjaira)</t>
  </si>
  <si>
    <t>~ A Csala Közösségi tér programjainak, rendezvényeinek megvalósításához kapcsolódó, 2020. november 1. és 2021. december 31. napja között felmerülő dologi költségek támogatására (Képviselői Alap)</t>
  </si>
  <si>
    <t>Főösszeget nem érintő előirányzat rendezés</t>
  </si>
  <si>
    <t>Főösszeget nem érintő előirányzat rendezés (Polgármesteri Hivatal)</t>
  </si>
  <si>
    <t>~ 2020. évi fel nem használt képviselői keret visszavonása (Katolikus Legényegylet 2020. évi programjaira) Székesfehérvári Közösségi és Kulturális Központ</t>
  </si>
  <si>
    <t>~ 2020. évi fel nem használt képviselői keret visszavonása (A "Nem csak a 20 éveseké a világ nyugdíjas klub  2020 .évi programjaira) Székesfehérvári Közösségi és Kulturális Központ</t>
  </si>
  <si>
    <t>~ Az intézmény által megvalósításra kerülő programokhoz és tárgyi eszköz beszerzésekhez kapcsolódó 2020. január 1. és 2021. június 30 .napja között felmerülő személyi és dologi költségekhez (Képviselői Alap)  korrekció Naprafogó Bölcsőde és Nyitnikék Bölcsőde közötti rendezés</t>
  </si>
  <si>
    <t>~ Béren kívüli juttatás 9-12 hónapok várható és tényadat különbözetének rendezése (Kríziskezelő Központ)</t>
  </si>
  <si>
    <t>~ Képviselői Alap</t>
  </si>
  <si>
    <t>~ Intézményvezető saját hatáskörű előirányzat módosítása - átvett pénzeszköz előirányzat rendezése (Vörösmarty Színház, Székesfehérvári Balett Színház, Alba Regia Szimfonikus Zenekar, Székesfehérvári Közösségi és Kulturális Központ, Szent István Király Múzeum))</t>
  </si>
  <si>
    <t>~ NKA pályázat fel nem használt részének visszautalásához kapcsolódó előirányzat rendezés (Vörösmarty Mihály Könyvtár)</t>
  </si>
  <si>
    <t>Költségvetési szervek 2020. évi bevételi előirányzata (eFt-ban)</t>
  </si>
  <si>
    <t>~ 2019. évi maradvány korrekció a 4/2013. (I.11.) Korm.rendelet 56/A §-a alapján.</t>
  </si>
  <si>
    <t>~ Bérkompenzációs 11-12 havi különbözetének elszámolása</t>
  </si>
  <si>
    <t>~ 2019. évi Kéviselő keret 2020. évben fel nem használt része- visszavonás</t>
  </si>
  <si>
    <t>~ Intézményvezető saját hatáskörű előirányzat módosítása- átvett pénzeszköz előirányzat rendezése</t>
  </si>
  <si>
    <t>~ 2020. évi fel nem használt képviselői keret visszavonása ( Katolikus Legényegylet 2020. évi programjaira)</t>
  </si>
  <si>
    <t>~ 2020. évi fel nem használt képviselői keret visszavonása (a "Nem csak a 20 éveseké a világ nyugdíjas klub 2020. évi programjaira)</t>
  </si>
  <si>
    <t>~ A Csala Közösségi tér programjainak, rendezvényeinek megvalósításához kapcsolódó, 2020. november 1. és 2021. december 31. napja között felmerülő dologi költségek támogatása (Képviselői Alap)</t>
  </si>
  <si>
    <t>~ 2020. évi fel nem használt képviselői keret visszavonása ( Katolikus Legényegylet 2020. évi programjaira) Székesfehérvári Közösségi és Kulturális Központ</t>
  </si>
  <si>
    <t>~ 2020. évi fel nem használt képviselői keret visszavonása (a "Nem csak a 20 éveseké a világ nyugdíjas klub 2020. évi programjaira)Székesfehérvári Közösségi és Kulturális Központ</t>
  </si>
  <si>
    <t>~ Az intézmény által megvalósításra kerülő programokhoz és tárgyi eszköz beszerzésekhez kapcsolódó 2020. január 1. és 2021. június 30 .napja között felmerülő személyi és dologi költségekhez (Képviselői Alap)  Napraforgó Bölcsőde és Nyitnikék Bölcsőde közötti rendezés</t>
  </si>
  <si>
    <t>~ Béren kívüli juttatás 9-12 hónapok várható és tényadat különbözet rendezése (Kríziskezelő Központ)</t>
  </si>
  <si>
    <t>~ Intézményvezető saját hatáskörű előirányzat módosítása- átvett pénzeszköz előirányzat rendezése (Vörösmarty Színház, Székesfehérvári Balett Színház, Alba Regia Szimfonikus Zenekar, Székesfehérvári Közösségi és Kulturális Központ, Szent István Király Múzeum)</t>
  </si>
  <si>
    <t>Államáztartáson belüli megelőlegezések</t>
  </si>
  <si>
    <t>Lakáselidegenítés tervezett előirányzatainak felhasználása (eFt-ban)</t>
  </si>
  <si>
    <t>BEVÉTELEK</t>
  </si>
  <si>
    <t>Tárgyévi lakásértékesítések bevételei</t>
  </si>
  <si>
    <t>Előző években értékesített lakások tárgyévi törlesztő részlete</t>
  </si>
  <si>
    <t>KIADÁSOK</t>
  </si>
  <si>
    <t>Életjáradék lakásért</t>
  </si>
  <si>
    <t>Lakóépület teljes vagy részleges felújításának részbeni fedezetére- Székesfehérvári Városfejlesztési Kft. 2020. évi üzleti tervében kerül biztosításra</t>
  </si>
  <si>
    <t>Önkormányzati tulajdonú lakás- és nem lakáscélú helyiségek üzemeltetési költségei és azok forrásai
2020. évben
(eFt-ban)</t>
  </si>
  <si>
    <t>FORRÁSOK</t>
  </si>
  <si>
    <t>Új módosított  előirányzat</t>
  </si>
  <si>
    <t>Épületek bérl. díj bevétele</t>
  </si>
  <si>
    <t>Ebből:</t>
  </si>
  <si>
    <t>Lakások</t>
  </si>
  <si>
    <t>Nem lakás célú helyiségek</t>
  </si>
  <si>
    <t>Nem lakáscélú helyiségek bérleti díj ÁFA bevétele</t>
  </si>
  <si>
    <t>ÖSSZES FORRÁS</t>
  </si>
  <si>
    <t>FELHASZNÁLÁSOK</t>
  </si>
  <si>
    <t>Önkormányzati ingatlankezelés üzemeltetési költsége</t>
  </si>
  <si>
    <t>Önkormányzati ingatlankezelés alapdíja</t>
  </si>
  <si>
    <t>Önkormányzati ingatlankezelés egyéb díja</t>
  </si>
  <si>
    <t>~ebből közös költség</t>
  </si>
  <si>
    <t>ÁFA befizetés</t>
  </si>
  <si>
    <t>ÖSSZES FELHASZNÁLÁS</t>
  </si>
  <si>
    <t>Módosított   előirányzat</t>
  </si>
  <si>
    <t>2020. évi előirányzat 
(eFt-ban)</t>
  </si>
  <si>
    <t>2020. évi központi költségvetésből  származó  állami hozzájárulás (Ft-ban)</t>
  </si>
  <si>
    <t>Állami hozzájárulás összege (Ft)</t>
  </si>
  <si>
    <r>
      <t>100 forint/m</t>
    </r>
    <r>
      <rPr>
        <vertAlign val="superscript"/>
        <sz val="12"/>
        <color theme="1"/>
        <rFont val="Times New Roman"/>
        <family val="1"/>
        <charset val="238"/>
      </rPr>
      <t>3</t>
    </r>
  </si>
  <si>
    <r>
      <t>2980 m</t>
    </r>
    <r>
      <rPr>
        <vertAlign val="superscript"/>
        <sz val="12"/>
        <rFont val="Times New Roman CE"/>
        <charset val="238"/>
      </rPr>
      <t>3</t>
    </r>
  </si>
  <si>
    <t>97 400 forint/fő</t>
  </si>
  <si>
    <t>811 600 forint/fő</t>
  </si>
  <si>
    <t>4 100 000 forint/sz. létszám</t>
  </si>
  <si>
    <t>3 650 000 forint/sz. létszám</t>
  </si>
  <si>
    <t>66 360 forint/fő</t>
  </si>
  <si>
    <t>25 000 forint/fő</t>
  </si>
  <si>
    <t>330 000 
+ 33 000 forint/fő</t>
  </si>
  <si>
    <t>117/158</t>
  </si>
  <si>
    <t>190 000 
+ 27 000 forint/fő</t>
  </si>
  <si>
    <t>49/80</t>
  </si>
  <si>
    <t>689 000 
+ 43 000 forint/fő</t>
  </si>
  <si>
    <t>12/18</t>
  </si>
  <si>
    <t>569 350
+32 000 forint/fő</t>
  </si>
  <si>
    <t>115/121</t>
  </si>
  <si>
    <t>3 858 040
+ 376 000 forint/fő</t>
  </si>
  <si>
    <t>69/73</t>
  </si>
  <si>
    <t xml:space="preserve"> 2 376 000 forint/sz. létszám</t>
  </si>
  <si>
    <t>285 forint/étkezési adat</t>
  </si>
  <si>
    <t>605 forint/fő</t>
  </si>
  <si>
    <t>Kulturális illetménypótlék</t>
  </si>
  <si>
    <t>Közművelődési érdekeltségnövelő támogatás, muzeális intézmények szakmai támogatása - Járásszékhely múzeumok szakmai támogatása (B21)</t>
  </si>
  <si>
    <t>Működési célú költségvetési támogatások és kiegészítő támogatások (B115)</t>
  </si>
  <si>
    <t xml:space="preserve">1. sz. melléklet IX. Helyi önkormányzatok támogatásai fejezet 
31. Tisztítsuk meg az Országot! pályázati támogatás </t>
  </si>
  <si>
    <t>1598/2020. (IX. 24.) Korm. határozat alapján kiírt pályázat "Tisztítsuk meg az országot!"</t>
  </si>
  <si>
    <t>1. sz. melléklet IX. Helyi önkormányzatok támogatásai fejezet 
43. Egyes önkormányzati feladatok ellátásának támogatása cím 
19. Székesfehérvár Megyei Jogú Város Önkormányzata feladatainak támogatása</t>
  </si>
  <si>
    <t>2005/2020. (XII.24.) Korm. határozat 1. sz. melléklet alapján</t>
  </si>
  <si>
    <t>1. sz. melléklet IX. Helyi önkormányzatok támogatásai fejezet 
49. Egyes települési önkormányzatok kötelező feladatainak támogatása cím 
17. Székesfehérvár Megyei Jogú Város Önkormányzata kötelező feladatainak támogatása</t>
  </si>
  <si>
    <t>2005/2020. (XII.24.) Korm. határozat 3.  sz. melléklet alapján</t>
  </si>
  <si>
    <t>Felhalmozási célú önkormányzati támogatások (B21)</t>
  </si>
  <si>
    <t>1. sz. melléklet IX. Helyi önkormányzatok támogatásai fejezet  
39. Székesfehérvár Megyei Jogú Város ingatlanvásárlásának támogatása</t>
  </si>
  <si>
    <t>1705/2020. (X.29.) Korm. határozat alapján</t>
  </si>
  <si>
    <t>1. számú melléklet összesen (A helyi önkormányzatok támogatásai fejezet)</t>
  </si>
  <si>
    <t xml:space="preserve">    Önkormányzati feladatellátás és bevételkiesés fedezetére szolgáló keret (2019. évi maradvány korrekció a 4/2013.(I.11.) Kormányrendelet 56/A §-a alapján)</t>
  </si>
  <si>
    <r>
      <t xml:space="preserve">   Költségvetési szervek működési költségeinek  tartalék kerete, valamint az új illetve átszervezéssel érintett intézmények megalakulásával és átszervezésével kapcsolatos eseti költségeinek fedezetére </t>
    </r>
    <r>
      <rPr>
        <sz val="12"/>
        <rFont val="Times New Roman CE"/>
        <charset val="238"/>
      </rPr>
      <t>(Főösszeget nem értintő átcsoportosítás)</t>
    </r>
  </si>
  <si>
    <t xml:space="preserve"> 18. melléklet a 12/2021.(II.25.) önkormányzati rendelethez</t>
  </si>
  <si>
    <t>Környezetvédelmi Alap felosztása (eFt-ban)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</si>
</sst>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 _F_t_-;\-* #,##0.00\ _F_t_-;_-* &quot;-&quot;??\ _F_t_-;_-@_-"/>
    <numFmt numFmtId="165" formatCode="_-* #,##0_-;\-* #,##0_-;_-* &quot;-&quot;??_-;_-@_-"/>
    <numFmt numFmtId="166" formatCode="#,##0.0"/>
  </numFmts>
  <fonts count="93" x14ac:knownFonts="1">
    <font>
      <sz val="12"/>
      <name val="Times New Roman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2"/>
      <name val="Times New Roman CE"/>
      <charset val="238"/>
    </font>
    <font>
      <b/>
      <sz val="12"/>
      <name val="Times New Roman CE"/>
      <charset val="238"/>
    </font>
    <font>
      <i/>
      <sz val="12"/>
      <name val="Times New Roman CE"/>
      <charset val="238"/>
    </font>
    <font>
      <sz val="12"/>
      <name val="Times New Roman CE"/>
      <charset val="238"/>
    </font>
    <font>
      <sz val="11"/>
      <color indexed="8"/>
      <name val="Calibri"/>
      <family val="2"/>
      <charset val="238"/>
    </font>
    <font>
      <sz val="11"/>
      <color indexed="9"/>
      <name val="Calibri"/>
      <family val="2"/>
      <charset val="238"/>
    </font>
    <font>
      <sz val="11"/>
      <color indexed="62"/>
      <name val="Calibri"/>
      <family val="2"/>
      <charset val="238"/>
    </font>
    <font>
      <b/>
      <sz val="18"/>
      <color indexed="56"/>
      <name val="Cambria"/>
      <family val="2"/>
      <charset val="238"/>
    </font>
    <font>
      <b/>
      <sz val="15"/>
      <color indexed="56"/>
      <name val="Calibri"/>
      <family val="2"/>
      <charset val="238"/>
    </font>
    <font>
      <b/>
      <sz val="13"/>
      <color indexed="56"/>
      <name val="Calibri"/>
      <family val="2"/>
      <charset val="238"/>
    </font>
    <font>
      <b/>
      <sz val="11"/>
      <color indexed="56"/>
      <name val="Calibri"/>
      <family val="2"/>
      <charset val="238"/>
    </font>
    <font>
      <b/>
      <sz val="11"/>
      <color indexed="9"/>
      <name val="Calibri"/>
      <family val="2"/>
      <charset val="238"/>
    </font>
    <font>
      <sz val="11"/>
      <color indexed="10"/>
      <name val="Calibri"/>
      <family val="2"/>
      <charset val="238"/>
    </font>
    <font>
      <sz val="11"/>
      <color indexed="52"/>
      <name val="Calibri"/>
      <family val="2"/>
      <charset val="238"/>
    </font>
    <font>
      <sz val="11"/>
      <color indexed="17"/>
      <name val="Calibri"/>
      <family val="2"/>
      <charset val="238"/>
    </font>
    <font>
      <b/>
      <sz val="11"/>
      <color indexed="63"/>
      <name val="Calibri"/>
      <family val="2"/>
      <charset val="238"/>
    </font>
    <font>
      <i/>
      <sz val="11"/>
      <color indexed="23"/>
      <name val="Calibri"/>
      <family val="2"/>
      <charset val="238"/>
    </font>
    <font>
      <b/>
      <sz val="11"/>
      <color indexed="8"/>
      <name val="Calibri"/>
      <family val="2"/>
      <charset val="238"/>
    </font>
    <font>
      <sz val="11"/>
      <color indexed="20"/>
      <name val="Calibri"/>
      <family val="2"/>
      <charset val="238"/>
    </font>
    <font>
      <sz val="11"/>
      <color indexed="60"/>
      <name val="Calibri"/>
      <family val="2"/>
      <charset val="238"/>
    </font>
    <font>
      <b/>
      <sz val="11"/>
      <color indexed="52"/>
      <name val="Calibri"/>
      <family val="2"/>
      <charset val="238"/>
    </font>
    <font>
      <i/>
      <sz val="12"/>
      <name val="Times New Roman"/>
      <family val="1"/>
      <charset val="238"/>
    </font>
    <font>
      <sz val="10"/>
      <name val="Arial"/>
      <family val="2"/>
      <charset val="238"/>
    </font>
    <font>
      <sz val="8"/>
      <name val="Times New Roman CE"/>
      <charset val="238"/>
    </font>
    <font>
      <sz val="12"/>
      <color indexed="8"/>
      <name val="Times New Roman"/>
      <family val="2"/>
      <charset val="238"/>
    </font>
    <font>
      <sz val="10"/>
      <name val="Arial CE"/>
      <charset val="238"/>
    </font>
    <font>
      <b/>
      <sz val="12"/>
      <name val="Times New Roman"/>
      <family val="1"/>
      <charset val="238"/>
    </font>
    <font>
      <sz val="12"/>
      <name val="Times New Roman"/>
      <family val="1"/>
      <charset val="238"/>
    </font>
    <font>
      <b/>
      <i/>
      <sz val="12"/>
      <name val="Times New Roman"/>
      <family val="1"/>
      <charset val="238"/>
    </font>
    <font>
      <sz val="10"/>
      <name val="Arial"/>
      <family val="2"/>
      <charset val="238"/>
    </font>
    <font>
      <b/>
      <sz val="12"/>
      <name val="Times New Roman CE"/>
      <family val="1"/>
      <charset val="238"/>
    </font>
    <font>
      <sz val="12"/>
      <name val="Times New Roman CE"/>
      <family val="1"/>
      <charset val="238"/>
    </font>
    <font>
      <b/>
      <i/>
      <sz val="12"/>
      <name val="Times New Roman CE"/>
      <family val="1"/>
      <charset val="238"/>
    </font>
    <font>
      <b/>
      <i/>
      <sz val="12"/>
      <name val="Times New Roman CE"/>
      <charset val="238"/>
    </font>
    <font>
      <i/>
      <sz val="10"/>
      <name val="Arial CE"/>
      <charset val="238"/>
    </font>
    <font>
      <b/>
      <i/>
      <sz val="10"/>
      <name val="Arial CE"/>
      <charset val="238"/>
    </font>
    <font>
      <b/>
      <sz val="10"/>
      <name val="Arial CE"/>
      <charset val="238"/>
    </font>
    <font>
      <sz val="11"/>
      <name val="Arial CE"/>
      <charset val="238"/>
    </font>
    <font>
      <b/>
      <sz val="10"/>
      <name val="Times New Roman CE"/>
      <charset val="238"/>
    </font>
    <font>
      <i/>
      <sz val="12"/>
      <name val="Times New Roman CE"/>
      <family val="1"/>
      <charset val="238"/>
    </font>
    <font>
      <sz val="11"/>
      <color theme="1"/>
      <name val="Calibri"/>
      <family val="2"/>
      <charset val="238"/>
      <scheme val="minor"/>
    </font>
    <font>
      <sz val="12"/>
      <color theme="1"/>
      <name val="Times New Roman"/>
      <family val="2"/>
      <charset val="238"/>
    </font>
    <font>
      <sz val="12"/>
      <name val="Times New Roman CE"/>
    </font>
    <font>
      <b/>
      <sz val="12"/>
      <name val="Times New Roman CE"/>
    </font>
    <font>
      <i/>
      <sz val="12"/>
      <name val="Times New Roman CE"/>
    </font>
    <font>
      <b/>
      <sz val="10"/>
      <name val="Times New Roman CE"/>
      <family val="1"/>
      <charset val="238"/>
    </font>
    <font>
      <b/>
      <sz val="10"/>
      <name val="Times New Roman CE"/>
    </font>
    <font>
      <b/>
      <sz val="11"/>
      <name val="Times New Roman CE"/>
      <family val="1"/>
      <charset val="238"/>
    </font>
    <font>
      <b/>
      <sz val="9"/>
      <name val="Times New Roman CE"/>
      <family val="1"/>
      <charset val="238"/>
    </font>
    <font>
      <b/>
      <sz val="11"/>
      <name val="Times New Roman CE"/>
      <charset val="238"/>
    </font>
    <font>
      <sz val="10"/>
      <name val="Times New Roman CE"/>
      <family val="1"/>
      <charset val="238"/>
    </font>
    <font>
      <b/>
      <sz val="14"/>
      <name val="Times New Roman"/>
      <family val="1"/>
      <charset val="238"/>
    </font>
    <font>
      <i/>
      <sz val="11"/>
      <name val="Times New Roman"/>
      <family val="1"/>
      <charset val="238"/>
    </font>
    <font>
      <sz val="10"/>
      <name val="Times New Roman"/>
      <family val="1"/>
      <charset val="238"/>
    </font>
    <font>
      <b/>
      <sz val="14"/>
      <name val="Times New Roman CE"/>
      <charset val="238"/>
    </font>
    <font>
      <b/>
      <sz val="11"/>
      <name val="Times New Roman"/>
      <family val="1"/>
      <charset val="238"/>
    </font>
    <font>
      <sz val="11"/>
      <name val="Times New Roman"/>
      <family val="1"/>
      <charset val="238"/>
    </font>
    <font>
      <sz val="12"/>
      <color rgb="FFFF0000"/>
      <name val="Times New Roman"/>
      <family val="1"/>
      <charset val="238"/>
    </font>
    <font>
      <i/>
      <sz val="10"/>
      <name val="Times New Roman"/>
      <family val="1"/>
      <charset val="238"/>
    </font>
    <font>
      <sz val="11"/>
      <name val="Calibri"/>
      <family val="2"/>
      <charset val="238"/>
    </font>
    <font>
      <i/>
      <sz val="10"/>
      <name val="Times New Roman CE"/>
      <charset val="238"/>
    </font>
    <font>
      <sz val="11"/>
      <name val="Calibri"/>
      <family val="2"/>
      <charset val="238"/>
      <scheme val="minor"/>
    </font>
    <font>
      <i/>
      <sz val="11"/>
      <name val="Calibri"/>
      <family val="2"/>
      <charset val="238"/>
      <scheme val="minor"/>
    </font>
    <font>
      <b/>
      <sz val="11"/>
      <name val="Calibri"/>
      <family val="2"/>
      <charset val="238"/>
      <scheme val="minor"/>
    </font>
    <font>
      <b/>
      <sz val="11"/>
      <color rgb="FFFF0000"/>
      <name val="Times New Roman"/>
      <family val="1"/>
      <charset val="238"/>
    </font>
    <font>
      <u/>
      <sz val="11"/>
      <name val="Times New Roman"/>
      <family val="1"/>
      <charset val="238"/>
    </font>
    <font>
      <b/>
      <sz val="9"/>
      <color indexed="81"/>
      <name val="Tahoma"/>
      <family val="2"/>
      <charset val="238"/>
    </font>
    <font>
      <sz val="9"/>
      <color indexed="81"/>
      <name val="Tahoma"/>
      <family val="2"/>
      <charset val="238"/>
    </font>
    <font>
      <sz val="12"/>
      <color rgb="FFFF0000"/>
      <name val="Times New Roman CE"/>
      <charset val="238"/>
    </font>
    <font>
      <b/>
      <sz val="8"/>
      <name val="Times New Roman CE"/>
    </font>
    <font>
      <sz val="10"/>
      <color indexed="8"/>
      <name val="Calibri"/>
      <family val="2"/>
      <charset val="238"/>
    </font>
    <font>
      <sz val="10"/>
      <name val="Times New Roman CE"/>
      <charset val="238"/>
    </font>
    <font>
      <sz val="12"/>
      <color theme="1"/>
      <name val="Times New Roman"/>
      <family val="1"/>
      <charset val="238"/>
    </font>
    <font>
      <vertAlign val="superscript"/>
      <sz val="12"/>
      <color theme="1"/>
      <name val="Times New Roman"/>
      <family val="1"/>
      <charset val="238"/>
    </font>
    <font>
      <vertAlign val="superscript"/>
      <sz val="12"/>
      <name val="Times New Roman CE"/>
      <charset val="238"/>
    </font>
    <font>
      <sz val="7"/>
      <color rgb="FF000000"/>
      <name val="Arial"/>
      <family val="2"/>
      <charset val="238"/>
    </font>
    <font>
      <sz val="12"/>
      <color rgb="FFFF0000"/>
      <name val="Times New Roman CE"/>
      <family val="1"/>
      <charset val="23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43"/>
      </patternFill>
    </fill>
  </fills>
  <borders count="14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style="thin">
        <color indexed="64"/>
      </top>
      <bottom style="thin">
        <color indexed="64"/>
      </bottom>
      <diagonal/>
    </border>
    <border>
      <left style="thick">
        <color indexed="64"/>
      </left>
      <right/>
      <top style="thin">
        <color indexed="64"/>
      </top>
      <bottom style="thin">
        <color indexed="64"/>
      </bottom>
      <diagonal/>
    </border>
    <border>
      <left style="thick">
        <color indexed="64"/>
      </left>
      <right style="thick">
        <color indexed="64"/>
      </right>
      <top style="medium">
        <color indexed="64"/>
      </top>
      <bottom style="thick">
        <color indexed="64"/>
      </bottom>
      <diagonal/>
    </border>
    <border>
      <left/>
      <right style="thick">
        <color indexed="64"/>
      </right>
      <top style="thick">
        <color indexed="64"/>
      </top>
      <bottom style="thick">
        <color indexed="64"/>
      </bottom>
      <diagonal/>
    </border>
    <border>
      <left style="thick">
        <color indexed="64"/>
      </left>
      <right style="thick">
        <color indexed="64"/>
      </right>
      <top style="thin">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ck">
        <color indexed="64"/>
      </left>
      <right/>
      <top style="thick">
        <color indexed="64"/>
      </top>
      <bottom style="thick">
        <color indexed="64"/>
      </bottom>
      <diagonal/>
    </border>
    <border>
      <left style="thick">
        <color indexed="64"/>
      </left>
      <right style="thick">
        <color indexed="64"/>
      </right>
      <top/>
      <bottom style="thin">
        <color indexed="64"/>
      </bottom>
      <diagonal/>
    </border>
    <border>
      <left/>
      <right style="thick">
        <color indexed="64"/>
      </right>
      <top/>
      <bottom style="thin">
        <color indexed="64"/>
      </bottom>
      <diagonal/>
    </border>
    <border>
      <left style="thick">
        <color indexed="64"/>
      </left>
      <right style="thick">
        <color indexed="64"/>
      </right>
      <top style="thin">
        <color indexed="64"/>
      </top>
      <bottom/>
      <diagonal/>
    </border>
    <border>
      <left/>
      <right style="thick">
        <color indexed="64"/>
      </right>
      <top style="thin">
        <color indexed="64"/>
      </top>
      <bottom/>
      <diagonal/>
    </border>
    <border>
      <left style="thick">
        <color indexed="64"/>
      </left>
      <right style="thick">
        <color indexed="64"/>
      </right>
      <top/>
      <bottom style="thick">
        <color indexed="64"/>
      </bottom>
      <diagonal/>
    </border>
    <border>
      <left/>
      <right style="thick">
        <color indexed="64"/>
      </right>
      <top/>
      <bottom style="thick">
        <color indexed="64"/>
      </bottom>
      <diagonal/>
    </border>
    <border>
      <left/>
      <right/>
      <top style="thick">
        <color indexed="64"/>
      </top>
      <bottom/>
      <diagonal/>
    </border>
    <border>
      <left style="thick">
        <color indexed="64"/>
      </left>
      <right style="thick">
        <color indexed="64"/>
      </right>
      <top style="thick">
        <color indexed="64"/>
      </top>
      <bottom style="thin">
        <color indexed="64"/>
      </bottom>
      <diagonal/>
    </border>
    <border>
      <left/>
      <right style="thick">
        <color indexed="64"/>
      </right>
      <top style="thick">
        <color indexed="64"/>
      </top>
      <bottom style="medium">
        <color indexed="64"/>
      </bottom>
      <diagonal/>
    </border>
    <border>
      <left/>
      <right style="thick">
        <color indexed="64"/>
      </right>
      <top style="thick">
        <color indexed="64"/>
      </top>
      <bottom/>
      <diagonal/>
    </border>
    <border>
      <left style="thick">
        <color indexed="64"/>
      </left>
      <right style="thick">
        <color indexed="64"/>
      </right>
      <top style="medium">
        <color indexed="64"/>
      </top>
      <bottom style="medium">
        <color indexed="64"/>
      </bottom>
      <diagonal/>
    </border>
    <border>
      <left/>
      <right style="thick">
        <color indexed="64"/>
      </right>
      <top style="medium">
        <color indexed="64"/>
      </top>
      <bottom style="medium">
        <color indexed="64"/>
      </bottom>
      <diagonal/>
    </border>
    <border>
      <left/>
      <right style="thick">
        <color indexed="64"/>
      </right>
      <top/>
      <bottom/>
      <diagonal/>
    </border>
    <border>
      <left style="thick">
        <color indexed="64"/>
      </left>
      <right style="thick">
        <color indexed="64"/>
      </right>
      <top style="medium">
        <color indexed="64"/>
      </top>
      <bottom style="thin">
        <color indexed="64"/>
      </bottom>
      <diagonal/>
    </border>
    <border>
      <left style="thick">
        <color indexed="64"/>
      </left>
      <right/>
      <top style="medium">
        <color indexed="64"/>
      </top>
      <bottom style="thin">
        <color indexed="64"/>
      </bottom>
      <diagonal/>
    </border>
    <border>
      <left style="thick">
        <color indexed="64"/>
      </left>
      <right/>
      <top style="medium">
        <color indexed="64"/>
      </top>
      <bottom/>
      <diagonal/>
    </border>
    <border>
      <left style="thick">
        <color indexed="64"/>
      </left>
      <right/>
      <top/>
      <bottom/>
      <diagonal/>
    </border>
    <border>
      <left style="thick">
        <color indexed="64"/>
      </left>
      <right/>
      <top style="thick">
        <color indexed="64"/>
      </top>
      <bottom/>
      <diagonal/>
    </border>
    <border>
      <left style="medium">
        <color indexed="64"/>
      </left>
      <right style="medium">
        <color indexed="64"/>
      </right>
      <top style="thick">
        <color indexed="64"/>
      </top>
      <bottom/>
      <diagonal/>
    </border>
    <border>
      <left style="medium">
        <color indexed="64"/>
      </left>
      <right style="thick">
        <color indexed="64"/>
      </right>
      <top style="thick">
        <color indexed="64"/>
      </top>
      <bottom/>
      <diagonal/>
    </border>
    <border>
      <left style="medium">
        <color indexed="64"/>
      </left>
      <right style="medium">
        <color indexed="64"/>
      </right>
      <top style="thin">
        <color indexed="64"/>
      </top>
      <bottom style="thin">
        <color indexed="64"/>
      </bottom>
      <diagonal/>
    </border>
    <border>
      <left style="medium">
        <color indexed="64"/>
      </left>
      <right style="thick">
        <color indexed="64"/>
      </right>
      <top style="thin">
        <color indexed="64"/>
      </top>
      <bottom style="thin">
        <color indexed="64"/>
      </bottom>
      <diagonal/>
    </border>
    <border>
      <left style="thick">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ck">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thick">
        <color indexed="64"/>
      </top>
      <bottom style="medium">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style="thick">
        <color indexed="64"/>
      </left>
      <right style="thick">
        <color indexed="64"/>
      </right>
      <top style="thick">
        <color indexed="64"/>
      </top>
      <bottom style="medium">
        <color indexed="64"/>
      </bottom>
      <diagonal/>
    </border>
    <border>
      <left/>
      <right/>
      <top style="thick">
        <color indexed="64"/>
      </top>
      <bottom style="thick">
        <color indexed="64"/>
      </bottom>
      <diagonal/>
    </border>
    <border>
      <left/>
      <right/>
      <top style="thin">
        <color indexed="64"/>
      </top>
      <bottom/>
      <diagonal/>
    </border>
    <border>
      <left/>
      <right/>
      <top/>
      <bottom style="thick">
        <color indexed="64"/>
      </bottom>
      <diagonal/>
    </border>
    <border>
      <left style="thick">
        <color indexed="64"/>
      </left>
      <right style="thick">
        <color indexed="64"/>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thick">
        <color indexed="64"/>
      </top>
      <bottom style="thin">
        <color indexed="64"/>
      </bottom>
      <diagonal/>
    </border>
    <border>
      <left style="thick">
        <color indexed="64"/>
      </left>
      <right style="thick">
        <color indexed="64"/>
      </right>
      <top style="thick">
        <color indexed="64"/>
      </top>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bottom style="medium">
        <color indexed="64"/>
      </bottom>
      <diagonal/>
    </border>
    <border>
      <left style="thin">
        <color indexed="64"/>
      </left>
      <right/>
      <top style="thick">
        <color indexed="64"/>
      </top>
      <bottom style="thin">
        <color indexed="64"/>
      </bottom>
      <diagonal/>
    </border>
    <border>
      <left/>
      <right style="thick">
        <color indexed="64"/>
      </right>
      <top style="thin">
        <color indexed="64"/>
      </top>
      <bottom style="thick">
        <color indexed="64"/>
      </bottom>
      <diagonal/>
    </border>
    <border>
      <left/>
      <right/>
      <top style="thin">
        <color indexed="64"/>
      </top>
      <bottom style="thick">
        <color indexed="64"/>
      </bottom>
      <diagonal/>
    </border>
    <border>
      <left style="thick">
        <color indexed="64"/>
      </left>
      <right/>
      <top/>
      <bottom style="thick">
        <color indexed="64"/>
      </bottom>
      <diagonal/>
    </border>
    <border>
      <left style="medium">
        <color indexed="64"/>
      </left>
      <right style="medium">
        <color indexed="64"/>
      </right>
      <top/>
      <bottom/>
      <diagonal/>
    </border>
    <border>
      <left style="medium">
        <color indexed="64"/>
      </left>
      <right/>
      <top style="thick">
        <color indexed="64"/>
      </top>
      <bottom style="medium">
        <color indexed="64"/>
      </bottom>
      <diagonal/>
    </border>
    <border>
      <left style="thin">
        <color indexed="64"/>
      </left>
      <right style="thick">
        <color indexed="64"/>
      </right>
      <top/>
      <bottom style="thick">
        <color indexed="64"/>
      </bottom>
      <diagonal/>
    </border>
    <border>
      <left/>
      <right style="thick">
        <color indexed="64"/>
      </right>
      <top style="thick">
        <color indexed="64"/>
      </top>
      <bottom style="thin">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style="thick">
        <color indexed="64"/>
      </left>
      <right style="thick">
        <color indexed="64"/>
      </right>
      <top style="medium">
        <color indexed="64"/>
      </top>
      <bottom/>
      <diagonal/>
    </border>
    <border>
      <left/>
      <right/>
      <top style="medium">
        <color indexed="64"/>
      </top>
      <bottom style="thin">
        <color indexed="64"/>
      </bottom>
      <diagonal/>
    </border>
    <border>
      <left style="thick">
        <color indexed="64"/>
      </left>
      <right/>
      <top style="thin">
        <color indexed="64"/>
      </top>
      <bottom/>
      <diagonal/>
    </border>
    <border>
      <left/>
      <right style="thin">
        <color indexed="64"/>
      </right>
      <top style="thick">
        <color indexed="64"/>
      </top>
      <bottom style="thin">
        <color indexed="64"/>
      </bottom>
      <diagonal/>
    </border>
    <border>
      <left/>
      <right style="thin">
        <color indexed="64"/>
      </right>
      <top style="thin">
        <color indexed="64"/>
      </top>
      <bottom style="thick">
        <color indexed="64"/>
      </bottom>
      <diagonal/>
    </border>
    <border>
      <left style="thick">
        <color indexed="64"/>
      </left>
      <right/>
      <top style="thick">
        <color indexed="64"/>
      </top>
      <bottom style="thin">
        <color indexed="64"/>
      </bottom>
      <diagonal/>
    </border>
    <border>
      <left style="thick">
        <color indexed="64"/>
      </left>
      <right/>
      <top style="thin">
        <color indexed="64"/>
      </top>
      <bottom style="thick">
        <color indexed="64"/>
      </bottom>
      <diagonal/>
    </border>
    <border>
      <left style="thick">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style="medium">
        <color indexed="64"/>
      </top>
      <bottom/>
      <diagonal/>
    </border>
    <border>
      <left style="thin">
        <color indexed="64"/>
      </left>
      <right/>
      <top style="thin">
        <color indexed="64"/>
      </top>
      <bottom style="medium">
        <color indexed="64"/>
      </bottom>
      <diagonal/>
    </border>
    <border>
      <left style="thick">
        <color indexed="64"/>
      </left>
      <right style="medium">
        <color indexed="64"/>
      </right>
      <top/>
      <bottom style="thin">
        <color indexed="64"/>
      </bottom>
      <diagonal/>
    </border>
    <border>
      <left style="medium">
        <color indexed="64"/>
      </left>
      <right style="thick">
        <color indexed="64"/>
      </right>
      <top style="thin">
        <color indexed="64"/>
      </top>
      <bottom/>
      <diagonal/>
    </border>
    <border>
      <left style="medium">
        <color indexed="64"/>
      </left>
      <right style="thick">
        <color indexed="64"/>
      </right>
      <top style="thick">
        <color indexed="64"/>
      </top>
      <bottom style="thick">
        <color indexed="64"/>
      </bottom>
      <diagonal/>
    </border>
    <border>
      <left style="thick">
        <color indexed="64"/>
      </left>
      <right style="medium">
        <color indexed="64"/>
      </right>
      <top style="thick">
        <color indexed="64"/>
      </top>
      <bottom style="thick">
        <color indexed="64"/>
      </bottom>
      <diagonal/>
    </border>
    <border>
      <left style="medium">
        <color indexed="64"/>
      </left>
      <right style="thick">
        <color indexed="64"/>
      </right>
      <top/>
      <bottom style="thin">
        <color indexed="64"/>
      </bottom>
      <diagonal/>
    </border>
    <border>
      <left style="medium">
        <color indexed="64"/>
      </left>
      <right style="thick">
        <color indexed="64"/>
      </right>
      <top style="thick">
        <color indexed="64"/>
      </top>
      <bottom style="medium">
        <color indexed="64"/>
      </bottom>
      <diagonal/>
    </border>
    <border>
      <left style="thick">
        <color indexed="64"/>
      </left>
      <right style="medium">
        <color indexed="64"/>
      </right>
      <top style="thick">
        <color indexed="64"/>
      </top>
      <bottom style="medium">
        <color indexed="64"/>
      </bottom>
      <diagonal/>
    </border>
    <border>
      <left style="medium">
        <color indexed="64"/>
      </left>
      <right/>
      <top style="thin">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ck">
        <color indexed="64"/>
      </bottom>
      <diagonal/>
    </border>
  </borders>
  <cellStyleXfs count="279">
    <xf numFmtId="0" fontId="0" fillId="0" borderId="0"/>
    <xf numFmtId="0" fontId="20" fillId="2" borderId="0" applyNumberFormat="0" applyBorder="0" applyAlignment="0" applyProtection="0"/>
    <xf numFmtId="0" fontId="20" fillId="2" borderId="0" applyNumberFormat="0" applyBorder="0" applyAlignment="0" applyProtection="0"/>
    <xf numFmtId="0" fontId="20" fillId="2"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4"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7" borderId="0" applyNumberFormat="0" applyBorder="0" applyAlignment="0" applyProtection="0"/>
    <xf numFmtId="0" fontId="20" fillId="2"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5"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10"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5"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8"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11" borderId="0" applyNumberFormat="0" applyBorder="0" applyAlignment="0" applyProtection="0"/>
    <xf numFmtId="0" fontId="20" fillId="8"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5" borderId="0" applyNumberFormat="0" applyBorder="0" applyAlignment="0" applyProtection="0"/>
    <xf numFmtId="0" fontId="20" fillId="8" borderId="0" applyNumberFormat="0" applyBorder="0" applyAlignment="0" applyProtection="0"/>
    <xf numFmtId="0" fontId="20" fillId="11"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2"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9" borderId="0" applyNumberFormat="0" applyBorder="0" applyAlignment="0" applyProtection="0"/>
    <xf numFmtId="0" fontId="34" fillId="3" borderId="0" applyNumberFormat="0" applyBorder="0" applyAlignment="0" applyProtection="0"/>
    <xf numFmtId="0" fontId="22" fillId="7" borderId="1" applyNumberFormat="0" applyAlignment="0" applyProtection="0"/>
    <xf numFmtId="0" fontId="22" fillId="7" borderId="1" applyNumberFormat="0" applyAlignment="0" applyProtection="0"/>
    <xf numFmtId="0" fontId="22" fillId="7" borderId="1" applyNumberFormat="0" applyAlignment="0" applyProtection="0"/>
    <xf numFmtId="0" fontId="36" fillId="20" borderId="1" applyNumberFormat="0" applyAlignment="0" applyProtection="0"/>
    <xf numFmtId="0" fontId="27" fillId="21" borderId="2" applyNumberFormat="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3" applyNumberFormat="0" applyFill="0" applyAlignment="0" applyProtection="0"/>
    <xf numFmtId="0" fontId="24" fillId="0" borderId="3" applyNumberFormat="0" applyFill="0" applyAlignment="0" applyProtection="0"/>
    <xf numFmtId="0" fontId="24" fillId="0" borderId="3"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21" borderId="2" applyNumberFormat="0" applyAlignment="0" applyProtection="0"/>
    <xf numFmtId="0" fontId="27" fillId="21" borderId="2" applyNumberFormat="0" applyAlignment="0" applyProtection="0"/>
    <xf numFmtId="0" fontId="27" fillId="21" borderId="2" applyNumberFormat="0" applyAlignment="0" applyProtection="0"/>
    <xf numFmtId="0" fontId="32" fillId="0" borderId="0" applyNumberFormat="0" applyFill="0" applyBorder="0" applyAlignment="0" applyProtection="0"/>
    <xf numFmtId="164" fontId="19" fillId="0" borderId="0" applyFont="0" applyFill="0" applyBorder="0" applyAlignment="0" applyProtection="0"/>
    <xf numFmtId="164" fontId="56" fillId="0" borderId="0" applyFon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30" fillId="4" borderId="0" applyNumberFormat="0" applyBorder="0" applyAlignment="0" applyProtection="0"/>
    <xf numFmtId="0" fontId="24" fillId="0" borderId="3"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29" fillId="0" borderId="6" applyNumberFormat="0" applyFill="0" applyAlignment="0" applyProtection="0"/>
    <xf numFmtId="0" fontId="29" fillId="0" borderId="6" applyNumberFormat="0" applyFill="0" applyAlignment="0" applyProtection="0"/>
    <xf numFmtId="0" fontId="29" fillId="0" borderId="6" applyNumberFormat="0" applyFill="0" applyAlignment="0" applyProtection="0"/>
    <xf numFmtId="0" fontId="22" fillId="7" borderId="1" applyNumberFormat="0" applyAlignment="0" applyProtection="0"/>
    <xf numFmtId="0" fontId="16" fillId="22" borderId="7" applyNumberFormat="0" applyFont="0" applyAlignment="0" applyProtection="0"/>
    <xf numFmtId="0" fontId="38" fillId="22" borderId="7" applyNumberFormat="0" applyFont="0" applyAlignment="0" applyProtection="0"/>
    <xf numFmtId="0" fontId="38" fillId="22" borderId="7" applyNumberFormat="0" applyFont="0" applyAlignment="0" applyProtection="0"/>
    <xf numFmtId="0" fontId="19" fillId="22" borderId="7" applyNumberFormat="0" applyFont="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0" fillId="4" borderId="0" applyNumberFormat="0" applyBorder="0" applyAlignment="0" applyProtection="0"/>
    <xf numFmtId="0" fontId="31" fillId="20" borderId="8" applyNumberFormat="0" applyAlignment="0" applyProtection="0"/>
    <xf numFmtId="0" fontId="31" fillId="20" borderId="8" applyNumberFormat="0" applyAlignment="0" applyProtection="0"/>
    <xf numFmtId="0" fontId="31" fillId="20" borderId="8" applyNumberFormat="0" applyAlignment="0" applyProtection="0"/>
    <xf numFmtId="0" fontId="29" fillId="0" borderId="6" applyNumberFormat="0" applyFill="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5" fillId="23" borderId="0" applyNumberFormat="0" applyBorder="0" applyAlignment="0" applyProtection="0"/>
    <xf numFmtId="0" fontId="57" fillId="0" borderId="0"/>
    <xf numFmtId="0" fontId="19" fillId="0" borderId="0"/>
    <xf numFmtId="0" fontId="38" fillId="0" borderId="0"/>
    <xf numFmtId="0" fontId="38" fillId="0" borderId="0"/>
    <xf numFmtId="0" fontId="19" fillId="0" borderId="0"/>
    <xf numFmtId="0" fontId="16" fillId="0" borderId="0"/>
    <xf numFmtId="0" fontId="38" fillId="0" borderId="0"/>
    <xf numFmtId="0" fontId="56" fillId="0" borderId="0"/>
    <xf numFmtId="0" fontId="20" fillId="0" borderId="0"/>
    <xf numFmtId="0" fontId="38" fillId="0" borderId="0"/>
    <xf numFmtId="0" fontId="56" fillId="0" borderId="0"/>
    <xf numFmtId="0" fontId="20" fillId="0" borderId="0"/>
    <xf numFmtId="0" fontId="20" fillId="0" borderId="0"/>
    <xf numFmtId="0" fontId="20" fillId="0" borderId="0"/>
    <xf numFmtId="0" fontId="20" fillId="0" borderId="0"/>
    <xf numFmtId="0" fontId="57" fillId="0" borderId="0"/>
    <xf numFmtId="0" fontId="40" fillId="0" borderId="0"/>
    <xf numFmtId="0" fontId="19" fillId="0" borderId="0"/>
    <xf numFmtId="0" fontId="57" fillId="0" borderId="0"/>
    <xf numFmtId="0" fontId="57" fillId="0" borderId="0"/>
    <xf numFmtId="0" fontId="53" fillId="0" borderId="0"/>
    <xf numFmtId="0" fontId="41" fillId="0" borderId="0"/>
    <xf numFmtId="0" fontId="16" fillId="0" borderId="0"/>
    <xf numFmtId="0" fontId="16" fillId="0" borderId="0"/>
    <xf numFmtId="0" fontId="16" fillId="0" borderId="0"/>
    <xf numFmtId="0" fontId="19" fillId="0" borderId="0"/>
    <xf numFmtId="0" fontId="20" fillId="22" borderId="7" applyNumberFormat="0" applyFont="0" applyAlignment="0" applyProtection="0"/>
    <xf numFmtId="0" fontId="31" fillId="20" borderId="8" applyNumberFormat="0" applyAlignment="0" applyProtection="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6" fillId="20" borderId="1" applyNumberFormat="0" applyAlignment="0" applyProtection="0"/>
    <xf numFmtId="0" fontId="36" fillId="20" borderId="1" applyNumberFormat="0" applyAlignment="0" applyProtection="0"/>
    <xf numFmtId="0" fontId="36" fillId="20" borderId="1" applyNumberFormat="0" applyAlignment="0" applyProtection="0"/>
    <xf numFmtId="0" fontId="23" fillId="0" borderId="0" applyNumberFormat="0" applyFill="0" applyBorder="0" applyAlignment="0" applyProtection="0"/>
    <xf numFmtId="0" fontId="33" fillId="0" borderId="9" applyNumberFormat="0" applyFill="0" applyAlignment="0" applyProtection="0"/>
    <xf numFmtId="0" fontId="28" fillId="0" borderId="0" applyNumberFormat="0" applyFill="0" applyBorder="0" applyAlignment="0" applyProtection="0"/>
    <xf numFmtId="0" fontId="16" fillId="0" borderId="0"/>
    <xf numFmtId="0" fontId="16" fillId="0" borderId="0"/>
    <xf numFmtId="0" fontId="16" fillId="0" borderId="0"/>
    <xf numFmtId="164" fontId="16" fillId="0" borderId="0" applyFont="0" applyFill="0" applyBorder="0" applyAlignment="0" applyProtection="0"/>
    <xf numFmtId="0" fontId="15" fillId="0" borderId="0"/>
    <xf numFmtId="0" fontId="58" fillId="0" borderId="0"/>
    <xf numFmtId="0" fontId="58" fillId="0" borderId="0"/>
    <xf numFmtId="164" fontId="15" fillId="0" borderId="0" applyFont="0" applyFill="0" applyBorder="0" applyAlignment="0" applyProtection="0"/>
    <xf numFmtId="0" fontId="14" fillId="0" borderId="0"/>
    <xf numFmtId="0" fontId="14" fillId="0" borderId="0"/>
    <xf numFmtId="0" fontId="13" fillId="0" borderId="0"/>
    <xf numFmtId="0" fontId="38" fillId="0" borderId="0"/>
    <xf numFmtId="0" fontId="16" fillId="0" borderId="0"/>
    <xf numFmtId="0" fontId="12" fillId="0" borderId="0"/>
    <xf numFmtId="0" fontId="12" fillId="0" borderId="0"/>
    <xf numFmtId="0" fontId="20" fillId="2"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5"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5" borderId="0" applyNumberFormat="0" applyBorder="0" applyAlignment="0" applyProtection="0"/>
    <xf numFmtId="0" fontId="20" fillId="8" borderId="0" applyNumberFormat="0" applyBorder="0" applyAlignment="0" applyProtection="0"/>
    <xf numFmtId="0" fontId="20" fillId="11" borderId="0" applyNumberFormat="0" applyBorder="0" applyAlignment="0" applyProtection="0"/>
    <xf numFmtId="0" fontId="21" fillId="12"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22" fillId="7" borderId="1" applyNumberFormat="0" applyAlignment="0" applyProtection="0"/>
    <xf numFmtId="0" fontId="23" fillId="0" borderId="0" applyNumberFormat="0" applyFill="0" applyBorder="0" applyAlignment="0" applyProtection="0"/>
    <xf numFmtId="0" fontId="24" fillId="0" borderId="3"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27" fillId="21" borderId="2" applyNumberFormat="0" applyAlignment="0" applyProtection="0"/>
    <xf numFmtId="0" fontId="28" fillId="0" borderId="0" applyNumberFormat="0" applyFill="0" applyBorder="0" applyAlignment="0" applyProtection="0"/>
    <xf numFmtId="0" fontId="29" fillId="0" borderId="6" applyNumberFormat="0" applyFill="0" applyAlignment="0" applyProtection="0"/>
    <xf numFmtId="0" fontId="16" fillId="22" borderId="7" applyNumberFormat="0" applyFont="0" applyAlignment="0" applyProtection="0"/>
    <xf numFmtId="0" fontId="21" fillId="16"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9" borderId="0" applyNumberFormat="0" applyBorder="0" applyAlignment="0" applyProtection="0"/>
    <xf numFmtId="0" fontId="30" fillId="4" borderId="0" applyNumberFormat="0" applyBorder="0" applyAlignment="0" applyProtection="0"/>
    <xf numFmtId="0" fontId="31" fillId="20" borderId="8" applyNumberFormat="0" applyAlignment="0" applyProtection="0"/>
    <xf numFmtId="0" fontId="32" fillId="0" borderId="0" applyNumberFormat="0" applyFill="0" applyBorder="0" applyAlignment="0" applyProtection="0"/>
    <xf numFmtId="0" fontId="33" fillId="0" borderId="9" applyNumberFormat="0" applyFill="0" applyAlignment="0" applyProtection="0"/>
    <xf numFmtId="0" fontId="34" fillId="3" borderId="0" applyNumberFormat="0" applyBorder="0" applyAlignment="0" applyProtection="0"/>
    <xf numFmtId="0" fontId="35" fillId="23" borderId="0" applyNumberFormat="0" applyBorder="0" applyAlignment="0" applyProtection="0"/>
    <xf numFmtId="0" fontId="36" fillId="20" borderId="1" applyNumberFormat="0" applyAlignment="0" applyProtection="0"/>
    <xf numFmtId="0" fontId="11" fillId="0" borderId="0"/>
    <xf numFmtId="0" fontId="10" fillId="0" borderId="0"/>
    <xf numFmtId="0" fontId="10" fillId="0" borderId="0"/>
    <xf numFmtId="0" fontId="9" fillId="0" borderId="0"/>
    <xf numFmtId="43" fontId="16" fillId="0" borderId="0" applyFont="0" applyFill="0" applyBorder="0" applyAlignment="0" applyProtection="0"/>
    <xf numFmtId="0" fontId="8" fillId="0" borderId="0"/>
    <xf numFmtId="0" fontId="41" fillId="0" borderId="0"/>
    <xf numFmtId="0" fontId="38" fillId="0" borderId="0"/>
    <xf numFmtId="0" fontId="38" fillId="0" borderId="0"/>
    <xf numFmtId="0" fontId="41" fillId="0" borderId="0"/>
    <xf numFmtId="0" fontId="40" fillId="0" borderId="0"/>
    <xf numFmtId="43" fontId="7" fillId="0" borderId="0" applyFont="0" applyFill="0" applyBorder="0" applyAlignment="0" applyProtection="0"/>
    <xf numFmtId="0" fontId="6" fillId="0" borderId="0"/>
    <xf numFmtId="0" fontId="6" fillId="0" borderId="0"/>
    <xf numFmtId="0" fontId="38" fillId="0" borderId="0"/>
    <xf numFmtId="0" fontId="6" fillId="0" borderId="0"/>
    <xf numFmtId="0" fontId="5" fillId="0" borderId="0"/>
    <xf numFmtId="0" fontId="5" fillId="0" borderId="0"/>
    <xf numFmtId="0" fontId="5" fillId="0" borderId="0"/>
    <xf numFmtId="0" fontId="4" fillId="0" borderId="0"/>
    <xf numFmtId="0" fontId="4" fillId="0" borderId="0"/>
    <xf numFmtId="0" fontId="4" fillId="0" borderId="0"/>
    <xf numFmtId="0" fontId="3" fillId="0" borderId="0"/>
    <xf numFmtId="0" fontId="38" fillId="0" borderId="0"/>
    <xf numFmtId="0" fontId="2" fillId="0" borderId="0"/>
    <xf numFmtId="0" fontId="2" fillId="0" borderId="0"/>
    <xf numFmtId="0" fontId="16" fillId="0" borderId="0"/>
    <xf numFmtId="0" fontId="41" fillId="0" borderId="0"/>
    <xf numFmtId="0" fontId="1" fillId="0" borderId="0"/>
  </cellStyleXfs>
  <cellXfs count="1050">
    <xf numFmtId="0" fontId="0" fillId="0" borderId="0" xfId="0"/>
    <xf numFmtId="3" fontId="16" fillId="0" borderId="21" xfId="174" applyNumberFormat="1" applyFont="1" applyFill="1" applyBorder="1"/>
    <xf numFmtId="3" fontId="16" fillId="0" borderId="11" xfId="174" applyNumberFormat="1" applyFont="1" applyFill="1" applyBorder="1"/>
    <xf numFmtId="3" fontId="17" fillId="0" borderId="11" xfId="174" applyNumberFormat="1" applyFont="1" applyFill="1" applyBorder="1"/>
    <xf numFmtId="3" fontId="46" fillId="0" borderId="11" xfId="174" applyNumberFormat="1" applyFont="1" applyFill="1" applyBorder="1"/>
    <xf numFmtId="3" fontId="47" fillId="0" borderId="11" xfId="174" applyNumberFormat="1" applyFont="1" applyFill="1" applyBorder="1"/>
    <xf numFmtId="3" fontId="47" fillId="0" borderId="21" xfId="174" applyNumberFormat="1" applyFont="1" applyFill="1" applyBorder="1"/>
    <xf numFmtId="3" fontId="49" fillId="0" borderId="11" xfId="174" applyNumberFormat="1" applyFont="1" applyFill="1" applyBorder="1"/>
    <xf numFmtId="3" fontId="18" fillId="0" borderId="11" xfId="174" applyNumberFormat="1" applyFont="1" applyFill="1" applyBorder="1"/>
    <xf numFmtId="3" fontId="18" fillId="0" borderId="21" xfId="174" applyNumberFormat="1" applyFont="1" applyFill="1" applyBorder="1"/>
    <xf numFmtId="3" fontId="49" fillId="0" borderId="21" xfId="174" applyNumberFormat="1" applyFont="1" applyFill="1" applyBorder="1"/>
    <xf numFmtId="3" fontId="48" fillId="0" borderId="11" xfId="174" applyNumberFormat="1" applyFont="1" applyFill="1" applyBorder="1"/>
    <xf numFmtId="0" fontId="47" fillId="0" borderId="11" xfId="174" applyFont="1" applyFill="1" applyBorder="1" applyAlignment="1">
      <alignment wrapText="1"/>
    </xf>
    <xf numFmtId="0" fontId="41" fillId="0" borderId="0" xfId="172" applyFont="1" applyFill="1"/>
    <xf numFmtId="3" fontId="17" fillId="0" borderId="36" xfId="174" applyNumberFormat="1" applyFont="1" applyFill="1" applyBorder="1"/>
    <xf numFmtId="3" fontId="17" fillId="0" borderId="37" xfId="174" applyNumberFormat="1" applyFont="1" applyFill="1" applyBorder="1"/>
    <xf numFmtId="3" fontId="17" fillId="0" borderId="10" xfId="174" applyNumberFormat="1" applyFont="1" applyFill="1" applyBorder="1"/>
    <xf numFmtId="3" fontId="16" fillId="0" borderId="38" xfId="174" applyNumberFormat="1" applyFont="1" applyFill="1" applyBorder="1"/>
    <xf numFmtId="3" fontId="16" fillId="0" borderId="39" xfId="174" applyNumberFormat="1" applyFont="1" applyFill="1" applyBorder="1"/>
    <xf numFmtId="3" fontId="17" fillId="0" borderId="38" xfId="174" applyNumberFormat="1" applyFont="1" applyFill="1" applyBorder="1"/>
    <xf numFmtId="3" fontId="46" fillId="0" borderId="41" xfId="174" applyNumberFormat="1" applyFont="1" applyFill="1" applyBorder="1"/>
    <xf numFmtId="3" fontId="46" fillId="0" borderId="10" xfId="174" applyNumberFormat="1" applyFont="1" applyFill="1" applyBorder="1"/>
    <xf numFmtId="3" fontId="49" fillId="0" borderId="10" xfId="174" applyNumberFormat="1" applyFont="1" applyFill="1" applyBorder="1"/>
    <xf numFmtId="3" fontId="46" fillId="0" borderId="0" xfId="174" applyNumberFormat="1" applyFont="1" applyFill="1" applyBorder="1"/>
    <xf numFmtId="3" fontId="42" fillId="0" borderId="0" xfId="172" applyNumberFormat="1" applyFont="1" applyFill="1" applyBorder="1"/>
    <xf numFmtId="3" fontId="43" fillId="0" borderId="24" xfId="172" applyNumberFormat="1" applyFont="1" applyFill="1" applyBorder="1" applyAlignment="1">
      <alignment wrapText="1"/>
    </xf>
    <xf numFmtId="3" fontId="43" fillId="0" borderId="22" xfId="172" applyNumberFormat="1" applyFont="1" applyFill="1" applyBorder="1"/>
    <xf numFmtId="3" fontId="43" fillId="0" borderId="11" xfId="172" applyNumberFormat="1" applyFont="1" applyFill="1" applyBorder="1" applyAlignment="1">
      <alignment wrapText="1"/>
    </xf>
    <xf numFmtId="0" fontId="16" fillId="0" borderId="77" xfId="173" applyFont="1" applyFill="1" applyBorder="1"/>
    <xf numFmtId="3" fontId="16" fillId="0" borderId="26" xfId="173" applyNumberFormat="1" applyFont="1" applyFill="1" applyBorder="1"/>
    <xf numFmtId="3" fontId="18" fillId="0" borderId="22" xfId="173" applyNumberFormat="1" applyFont="1" applyFill="1" applyBorder="1" applyAlignment="1">
      <alignment wrapText="1"/>
    </xf>
    <xf numFmtId="0" fontId="18" fillId="0" borderId="22" xfId="175" applyFont="1" applyFill="1" applyBorder="1" applyAlignment="1">
      <alignment wrapText="1"/>
    </xf>
    <xf numFmtId="3" fontId="18" fillId="0" borderId="25" xfId="173" applyNumberFormat="1" applyFont="1" applyFill="1" applyBorder="1"/>
    <xf numFmtId="0" fontId="16" fillId="0" borderId="0" xfId="173" applyFont="1" applyFill="1"/>
    <xf numFmtId="0" fontId="17" fillId="0" borderId="10" xfId="173" applyFont="1" applyFill="1" applyBorder="1" applyAlignment="1">
      <alignment horizontal="center" wrapText="1"/>
    </xf>
    <xf numFmtId="3" fontId="17" fillId="0" borderId="35" xfId="173" applyNumberFormat="1" applyFont="1" applyFill="1" applyBorder="1"/>
    <xf numFmtId="3" fontId="17" fillId="0" borderId="10" xfId="173" applyNumberFormat="1" applyFont="1" applyFill="1" applyBorder="1"/>
    <xf numFmtId="3" fontId="16" fillId="0" borderId="0" xfId="173" applyNumberFormat="1" applyFont="1" applyFill="1" applyAlignment="1">
      <alignment wrapText="1"/>
    </xf>
    <xf numFmtId="3" fontId="16" fillId="0" borderId="0" xfId="173" applyNumberFormat="1" applyFont="1" applyFill="1"/>
    <xf numFmtId="3" fontId="17" fillId="0" borderId="0" xfId="173" applyNumberFormat="1" applyFont="1" applyFill="1"/>
    <xf numFmtId="3" fontId="47" fillId="0" borderId="36" xfId="174" applyNumberFormat="1" applyFont="1" applyFill="1" applyBorder="1"/>
    <xf numFmtId="0" fontId="47" fillId="0" borderId="43" xfId="174" applyFont="1" applyFill="1" applyBorder="1" applyAlignment="1">
      <alignment wrapText="1"/>
    </xf>
    <xf numFmtId="3" fontId="42" fillId="0" borderId="22" xfId="172" applyNumberFormat="1" applyFont="1" applyFill="1" applyBorder="1"/>
    <xf numFmtId="0" fontId="47" fillId="0" borderId="11" xfId="171" applyFont="1" applyFill="1" applyBorder="1"/>
    <xf numFmtId="3" fontId="47" fillId="0" borderId="12" xfId="171" applyNumberFormat="1" applyFont="1" applyFill="1" applyBorder="1"/>
    <xf numFmtId="0" fontId="47" fillId="0" borderId="0" xfId="171" applyFont="1" applyFill="1"/>
    <xf numFmtId="0" fontId="18" fillId="0" borderId="83" xfId="171" applyFont="1" applyFill="1" applyBorder="1"/>
    <xf numFmtId="3" fontId="18" fillId="0" borderId="52" xfId="171" applyNumberFormat="1" applyFont="1" applyFill="1" applyBorder="1"/>
    <xf numFmtId="0" fontId="18" fillId="0" borderId="0" xfId="171" applyFont="1" applyFill="1"/>
    <xf numFmtId="0" fontId="18" fillId="0" borderId="0" xfId="0" applyFont="1" applyFill="1"/>
    <xf numFmtId="0" fontId="47" fillId="0" borderId="11" xfId="171" applyNumberFormat="1" applyFont="1" applyFill="1" applyBorder="1"/>
    <xf numFmtId="0" fontId="18" fillId="0" borderId="15" xfId="171" applyNumberFormat="1" applyFont="1" applyFill="1" applyBorder="1"/>
    <xf numFmtId="3" fontId="46" fillId="0" borderId="38" xfId="174" applyNumberFormat="1" applyFont="1" applyFill="1" applyBorder="1"/>
    <xf numFmtId="3" fontId="46" fillId="0" borderId="39" xfId="174" applyNumberFormat="1" applyFont="1" applyFill="1" applyBorder="1"/>
    <xf numFmtId="3" fontId="42" fillId="0" borderId="24" xfId="172" applyNumberFormat="1" applyFont="1" applyFill="1" applyBorder="1"/>
    <xf numFmtId="3" fontId="43" fillId="0" borderId="20" xfId="172" applyNumberFormat="1" applyFont="1" applyFill="1" applyBorder="1" applyAlignment="1">
      <alignment wrapText="1"/>
    </xf>
    <xf numFmtId="3" fontId="42" fillId="0" borderId="20" xfId="172" applyNumberFormat="1" applyFont="1" applyFill="1" applyBorder="1"/>
    <xf numFmtId="3" fontId="43" fillId="0" borderId="24" xfId="172" applyNumberFormat="1" applyFont="1" applyFill="1" applyBorder="1"/>
    <xf numFmtId="3" fontId="43" fillId="0" borderId="22" xfId="172" applyNumberFormat="1" applyFont="1" applyFill="1" applyBorder="1" applyAlignment="1">
      <alignment wrapText="1"/>
    </xf>
    <xf numFmtId="3" fontId="43" fillId="0" borderId="20" xfId="172" applyNumberFormat="1" applyFont="1" applyFill="1" applyBorder="1"/>
    <xf numFmtId="0" fontId="17" fillId="0" borderId="38" xfId="171" applyNumberFormat="1" applyFont="1" applyFill="1" applyBorder="1"/>
    <xf numFmtId="3" fontId="17" fillId="0" borderId="11" xfId="171" applyNumberFormat="1" applyFont="1" applyFill="1" applyBorder="1"/>
    <xf numFmtId="3" fontId="49" fillId="0" borderId="38" xfId="174" applyNumberFormat="1" applyFont="1" applyFill="1" applyBorder="1"/>
    <xf numFmtId="3" fontId="49" fillId="0" borderId="83" xfId="171" applyNumberFormat="1" applyFont="1" applyFill="1" applyBorder="1"/>
    <xf numFmtId="3" fontId="18" fillId="0" borderId="27" xfId="173" applyNumberFormat="1" applyFont="1" applyFill="1" applyBorder="1" applyAlignment="1">
      <alignment wrapText="1"/>
    </xf>
    <xf numFmtId="3" fontId="17" fillId="0" borderId="0" xfId="173" applyNumberFormat="1" applyFont="1" applyFill="1" applyBorder="1"/>
    <xf numFmtId="3" fontId="43" fillId="0" borderId="65" xfId="172" applyNumberFormat="1" applyFont="1" applyFill="1" applyBorder="1"/>
    <xf numFmtId="3" fontId="43" fillId="0" borderId="25" xfId="172" applyNumberFormat="1" applyFont="1" applyFill="1" applyBorder="1"/>
    <xf numFmtId="3" fontId="42" fillId="0" borderId="25" xfId="172" applyNumberFormat="1" applyFont="1" applyFill="1" applyBorder="1"/>
    <xf numFmtId="3" fontId="43" fillId="0" borderId="21" xfId="172" applyNumberFormat="1" applyFont="1" applyFill="1" applyBorder="1"/>
    <xf numFmtId="3" fontId="43" fillId="0" borderId="25" xfId="172" applyNumberFormat="1" applyFont="1" applyFill="1" applyBorder="1" applyAlignment="1">
      <alignment wrapText="1"/>
    </xf>
    <xf numFmtId="3" fontId="43" fillId="0" borderId="21" xfId="172" applyNumberFormat="1" applyFont="1" applyFill="1" applyBorder="1" applyAlignment="1">
      <alignment wrapText="1"/>
    </xf>
    <xf numFmtId="3" fontId="43" fillId="0" borderId="77" xfId="172" applyNumberFormat="1" applyFont="1" applyFill="1" applyBorder="1"/>
    <xf numFmtId="3" fontId="43" fillId="0" borderId="73" xfId="172" applyNumberFormat="1" applyFont="1" applyFill="1" applyBorder="1"/>
    <xf numFmtId="3" fontId="43" fillId="0" borderId="39" xfId="172" applyNumberFormat="1" applyFont="1" applyFill="1" applyBorder="1"/>
    <xf numFmtId="3" fontId="43" fillId="0" borderId="81" xfId="172" applyNumberFormat="1" applyFont="1" applyFill="1" applyBorder="1"/>
    <xf numFmtId="3" fontId="37" fillId="0" borderId="77" xfId="172" applyNumberFormat="1" applyFont="1" applyFill="1" applyBorder="1"/>
    <xf numFmtId="3" fontId="37" fillId="0" borderId="73" xfId="172" applyNumberFormat="1" applyFont="1" applyFill="1" applyBorder="1"/>
    <xf numFmtId="3" fontId="37" fillId="0" borderId="39" xfId="172" applyNumberFormat="1" applyFont="1" applyFill="1" applyBorder="1"/>
    <xf numFmtId="3" fontId="37" fillId="0" borderId="81" xfId="172" applyNumberFormat="1" applyFont="1" applyFill="1" applyBorder="1"/>
    <xf numFmtId="3" fontId="37" fillId="0" borderId="78" xfId="172" applyNumberFormat="1" applyFont="1" applyFill="1" applyBorder="1"/>
    <xf numFmtId="0" fontId="47" fillId="0" borderId="11" xfId="176" applyFont="1" applyFill="1" applyBorder="1" applyAlignment="1">
      <alignment wrapText="1"/>
    </xf>
    <xf numFmtId="3" fontId="42" fillId="0" borderId="86" xfId="172" applyNumberFormat="1" applyFont="1" applyFill="1" applyBorder="1" applyAlignment="1">
      <alignment wrapText="1"/>
    </xf>
    <xf numFmtId="3" fontId="37" fillId="0" borderId="20" xfId="172" applyNumberFormat="1" applyFont="1" applyFill="1" applyBorder="1" applyAlignment="1">
      <alignment wrapText="1"/>
    </xf>
    <xf numFmtId="3" fontId="37" fillId="0" borderId="24" xfId="172" applyNumberFormat="1" applyFont="1" applyFill="1" applyBorder="1"/>
    <xf numFmtId="3" fontId="42" fillId="0" borderId="18" xfId="172" applyNumberFormat="1" applyFont="1" applyFill="1" applyBorder="1" applyAlignment="1">
      <alignment wrapText="1"/>
    </xf>
    <xf numFmtId="3" fontId="37" fillId="0" borderId="25" xfId="172" applyNumberFormat="1" applyFont="1" applyFill="1" applyBorder="1" applyAlignment="1">
      <alignment wrapText="1"/>
    </xf>
    <xf numFmtId="3" fontId="37" fillId="0" borderId="25" xfId="172" applyNumberFormat="1" applyFont="1" applyFill="1" applyBorder="1"/>
    <xf numFmtId="3" fontId="42" fillId="0" borderId="25" xfId="172" applyNumberFormat="1" applyFont="1" applyFill="1" applyBorder="1" applyAlignment="1">
      <alignment wrapText="1"/>
    </xf>
    <xf numFmtId="3" fontId="43" fillId="0" borderId="78" xfId="172" applyNumberFormat="1" applyFont="1" applyFill="1" applyBorder="1" applyAlignment="1">
      <alignment wrapText="1"/>
    </xf>
    <xf numFmtId="3" fontId="18" fillId="0" borderId="52" xfId="173" applyNumberFormat="1" applyFont="1" applyFill="1" applyBorder="1" applyAlignment="1">
      <alignment wrapText="1"/>
    </xf>
    <xf numFmtId="3" fontId="18" fillId="0" borderId="12" xfId="173" applyNumberFormat="1" applyFont="1" applyFill="1" applyBorder="1" applyAlignment="1">
      <alignment wrapText="1"/>
    </xf>
    <xf numFmtId="0" fontId="49" fillId="0" borderId="100" xfId="173" applyFont="1" applyFill="1" applyBorder="1" applyAlignment="1">
      <alignment wrapText="1"/>
    </xf>
    <xf numFmtId="3" fontId="42" fillId="0" borderId="65" xfId="172" applyNumberFormat="1" applyFont="1" applyFill="1" applyBorder="1" applyAlignment="1">
      <alignment wrapText="1"/>
    </xf>
    <xf numFmtId="3" fontId="43" fillId="0" borderId="34" xfId="172" applyNumberFormat="1" applyFont="1" applyFill="1" applyBorder="1" applyAlignment="1">
      <alignment wrapText="1"/>
    </xf>
    <xf numFmtId="3" fontId="42" fillId="0" borderId="21" xfId="172" applyNumberFormat="1" applyFont="1" applyFill="1" applyBorder="1" applyAlignment="1">
      <alignment wrapText="1"/>
    </xf>
    <xf numFmtId="3" fontId="47" fillId="0" borderId="21" xfId="174" applyNumberFormat="1" applyFont="1" applyFill="1" applyBorder="1" applyAlignment="1">
      <alignment horizontal="right"/>
    </xf>
    <xf numFmtId="3" fontId="43" fillId="0" borderId="56" xfId="197" applyNumberFormat="1" applyFont="1" applyFill="1" applyBorder="1"/>
    <xf numFmtId="3" fontId="42" fillId="0" borderId="56" xfId="197" applyNumberFormat="1" applyFont="1" applyFill="1" applyBorder="1"/>
    <xf numFmtId="3" fontId="43" fillId="0" borderId="109" xfId="172" applyNumberFormat="1" applyFont="1" applyFill="1" applyBorder="1"/>
    <xf numFmtId="3" fontId="17" fillId="0" borderId="83" xfId="174" applyNumberFormat="1" applyFont="1" applyFill="1" applyBorder="1"/>
    <xf numFmtId="3" fontId="43" fillId="0" borderId="34" xfId="172" applyNumberFormat="1" applyFont="1" applyFill="1" applyBorder="1"/>
    <xf numFmtId="3" fontId="42" fillId="0" borderId="34" xfId="172" applyNumberFormat="1" applyFont="1" applyFill="1" applyBorder="1"/>
    <xf numFmtId="3" fontId="37" fillId="0" borderId="72" xfId="172" applyNumberFormat="1" applyFont="1" applyFill="1" applyBorder="1"/>
    <xf numFmtId="3" fontId="37" fillId="0" borderId="109" xfId="172" applyNumberFormat="1" applyFont="1" applyFill="1" applyBorder="1"/>
    <xf numFmtId="3" fontId="37" fillId="0" borderId="74" xfId="172" applyNumberFormat="1" applyFont="1" applyFill="1" applyBorder="1"/>
    <xf numFmtId="3" fontId="42" fillId="0" borderId="21" xfId="172" applyNumberFormat="1" applyFont="1" applyFill="1" applyBorder="1"/>
    <xf numFmtId="3" fontId="18" fillId="0" borderId="77" xfId="173" applyNumberFormat="1" applyFont="1" applyFill="1" applyBorder="1" applyAlignment="1">
      <alignment wrapText="1"/>
    </xf>
    <xf numFmtId="3" fontId="42" fillId="0" borderId="75" xfId="197" applyNumberFormat="1" applyFont="1" applyFill="1" applyBorder="1"/>
    <xf numFmtId="0" fontId="46" fillId="0" borderId="13" xfId="171" applyFont="1" applyFill="1" applyBorder="1"/>
    <xf numFmtId="0" fontId="46" fillId="0" borderId="40" xfId="171" applyFont="1" applyFill="1" applyBorder="1"/>
    <xf numFmtId="3" fontId="49" fillId="0" borderId="10" xfId="171" applyNumberFormat="1" applyFont="1" applyFill="1" applyBorder="1"/>
    <xf numFmtId="4" fontId="49" fillId="0" borderId="10" xfId="171" applyNumberFormat="1" applyFont="1" applyFill="1" applyBorder="1"/>
    <xf numFmtId="0" fontId="17" fillId="0" borderId="0" xfId="171" applyFont="1" applyFill="1"/>
    <xf numFmtId="3" fontId="47" fillId="0" borderId="11" xfId="171" applyNumberFormat="1" applyFont="1" applyFill="1" applyBorder="1"/>
    <xf numFmtId="3" fontId="37" fillId="0" borderId="56" xfId="197" applyNumberFormat="1" applyFont="1" applyFill="1" applyBorder="1" applyAlignment="1"/>
    <xf numFmtId="3" fontId="47" fillId="0" borderId="0" xfId="171" applyNumberFormat="1" applyFont="1" applyFill="1"/>
    <xf numFmtId="3" fontId="46" fillId="0" borderId="10" xfId="171" applyNumberFormat="1" applyFont="1" applyFill="1" applyBorder="1" applyAlignment="1">
      <alignment horizontal="centerContinuous" wrapText="1"/>
    </xf>
    <xf numFmtId="3" fontId="46" fillId="0" borderId="87" xfId="171" applyNumberFormat="1" applyFont="1" applyFill="1" applyBorder="1" applyAlignment="1">
      <alignment horizontal="centerContinuous" wrapText="1"/>
    </xf>
    <xf numFmtId="3" fontId="47" fillId="0" borderId="52" xfId="171" applyNumberFormat="1" applyFont="1" applyFill="1" applyBorder="1"/>
    <xf numFmtId="3" fontId="48" fillId="0" borderId="11" xfId="171" applyNumberFormat="1" applyFont="1" applyFill="1" applyBorder="1"/>
    <xf numFmtId="3" fontId="48" fillId="0" borderId="12" xfId="171" applyNumberFormat="1" applyFont="1" applyFill="1" applyBorder="1"/>
    <xf numFmtId="3" fontId="18" fillId="0" borderId="15" xfId="171" applyNumberFormat="1" applyFont="1" applyFill="1" applyBorder="1"/>
    <xf numFmtId="3" fontId="17" fillId="0" borderId="10" xfId="171" applyNumberFormat="1" applyFont="1" applyFill="1" applyBorder="1"/>
    <xf numFmtId="0" fontId="47" fillId="0" borderId="0" xfId="172" applyFont="1" applyFill="1"/>
    <xf numFmtId="0" fontId="46" fillId="0" borderId="10" xfId="174" applyFont="1" applyFill="1" applyBorder="1" applyAlignment="1">
      <alignment horizontal="center" wrapText="1"/>
    </xf>
    <xf numFmtId="0" fontId="46" fillId="0" borderId="35" xfId="174" applyFont="1" applyFill="1" applyBorder="1" applyAlignment="1">
      <alignment horizontal="center" wrapText="1"/>
    </xf>
    <xf numFmtId="0" fontId="48" fillId="0" borderId="11" xfId="174" applyFont="1" applyFill="1" applyBorder="1" applyAlignment="1">
      <alignment wrapText="1"/>
    </xf>
    <xf numFmtId="0" fontId="50" fillId="0" borderId="0" xfId="172" applyFont="1" applyFill="1"/>
    <xf numFmtId="0" fontId="46" fillId="0" borderId="11" xfId="174" applyFont="1" applyFill="1" applyBorder="1" applyAlignment="1">
      <alignment wrapText="1"/>
    </xf>
    <xf numFmtId="0" fontId="47" fillId="0" borderId="38" xfId="174" applyFont="1" applyFill="1" applyBorder="1" applyAlignment="1">
      <alignment wrapText="1"/>
    </xf>
    <xf numFmtId="0" fontId="51" fillId="0" borderId="0" xfId="172" applyFont="1" applyFill="1"/>
    <xf numFmtId="0" fontId="46" fillId="0" borderId="38" xfId="174" applyFont="1" applyFill="1" applyBorder="1" applyAlignment="1">
      <alignment wrapText="1"/>
    </xf>
    <xf numFmtId="0" fontId="52" fillId="0" borderId="0" xfId="172" applyFont="1" applyFill="1"/>
    <xf numFmtId="0" fontId="47" fillId="0" borderId="36" xfId="174" applyFont="1" applyFill="1" applyBorder="1" applyAlignment="1">
      <alignment wrapText="1"/>
    </xf>
    <xf numFmtId="0" fontId="46" fillId="0" borderId="11" xfId="174" applyFont="1" applyFill="1" applyBorder="1" applyAlignment="1">
      <alignment horizontal="left" wrapText="1"/>
    </xf>
    <xf numFmtId="0" fontId="46" fillId="0" borderId="36" xfId="174" applyFont="1" applyFill="1" applyBorder="1" applyAlignment="1">
      <alignment wrapText="1"/>
    </xf>
    <xf numFmtId="0" fontId="46" fillId="0" borderId="10" xfId="174" applyFont="1" applyFill="1" applyBorder="1" applyAlignment="1">
      <alignment wrapText="1"/>
    </xf>
    <xf numFmtId="0" fontId="46" fillId="0" borderId="40" xfId="174" applyFont="1" applyFill="1" applyBorder="1" applyAlignment="1">
      <alignment wrapText="1"/>
    </xf>
    <xf numFmtId="0" fontId="42" fillId="0" borderId="43" xfId="172" applyFont="1" applyFill="1" applyBorder="1" applyAlignment="1">
      <alignment wrapText="1"/>
    </xf>
    <xf numFmtId="3" fontId="42" fillId="0" borderId="16" xfId="172" applyNumberFormat="1" applyFont="1" applyFill="1" applyBorder="1"/>
    <xf numFmtId="3" fontId="42" fillId="0" borderId="17" xfId="172" applyNumberFormat="1" applyFont="1" applyFill="1" applyBorder="1"/>
    <xf numFmtId="3" fontId="42" fillId="0" borderId="18" xfId="172" applyNumberFormat="1" applyFont="1" applyFill="1" applyBorder="1"/>
    <xf numFmtId="3" fontId="42" fillId="0" borderId="86" xfId="172" applyNumberFormat="1" applyFont="1" applyFill="1" applyBorder="1"/>
    <xf numFmtId="3" fontId="42" fillId="0" borderId="112" xfId="172" applyNumberFormat="1" applyFont="1" applyFill="1" applyBorder="1"/>
    <xf numFmtId="3" fontId="42" fillId="0" borderId="110" xfId="172" applyNumberFormat="1" applyFont="1" applyFill="1" applyBorder="1"/>
    <xf numFmtId="3" fontId="42" fillId="0" borderId="104" xfId="172" applyNumberFormat="1" applyFont="1" applyFill="1" applyBorder="1"/>
    <xf numFmtId="3" fontId="37" fillId="0" borderId="11" xfId="172" applyNumberFormat="1" applyFont="1" applyFill="1" applyBorder="1" applyAlignment="1">
      <alignment wrapText="1"/>
    </xf>
    <xf numFmtId="3" fontId="43" fillId="0" borderId="12" xfId="172" applyNumberFormat="1" applyFont="1" applyFill="1" applyBorder="1"/>
    <xf numFmtId="0" fontId="42" fillId="0" borderId="11" xfId="172" applyFont="1" applyFill="1" applyBorder="1" applyAlignment="1">
      <alignment wrapText="1"/>
    </xf>
    <xf numFmtId="3" fontId="42" fillId="0" borderId="12" xfId="172" applyNumberFormat="1" applyFont="1" applyFill="1" applyBorder="1"/>
    <xf numFmtId="3" fontId="43" fillId="0" borderId="12" xfId="172" applyNumberFormat="1" applyFont="1" applyFill="1" applyBorder="1" applyAlignment="1">
      <alignment wrapText="1"/>
    </xf>
    <xf numFmtId="3" fontId="43" fillId="0" borderId="38" xfId="172" applyNumberFormat="1" applyFont="1" applyFill="1" applyBorder="1" applyAlignment="1">
      <alignment wrapText="1"/>
    </xf>
    <xf numFmtId="3" fontId="37" fillId="0" borderId="38" xfId="172" applyNumberFormat="1" applyFont="1" applyFill="1" applyBorder="1" applyAlignment="1">
      <alignment wrapText="1"/>
    </xf>
    <xf numFmtId="3" fontId="42" fillId="0" borderId="15" xfId="172" applyNumberFormat="1" applyFont="1" applyFill="1" applyBorder="1"/>
    <xf numFmtId="3" fontId="42" fillId="0" borderId="27" xfId="172" applyNumberFormat="1" applyFont="1" applyFill="1" applyBorder="1"/>
    <xf numFmtId="3" fontId="42" fillId="0" borderId="28" xfId="172" applyNumberFormat="1" applyFont="1" applyFill="1" applyBorder="1"/>
    <xf numFmtId="3" fontId="42" fillId="0" borderId="98" xfId="172" applyNumberFormat="1" applyFont="1" applyFill="1" applyBorder="1"/>
    <xf numFmtId="3" fontId="42" fillId="0" borderId="99" xfId="172" applyNumberFormat="1" applyFont="1" applyFill="1" applyBorder="1"/>
    <xf numFmtId="3" fontId="42" fillId="0" borderId="29" xfId="172" applyNumberFormat="1" applyFont="1" applyFill="1" applyBorder="1"/>
    <xf numFmtId="3" fontId="42" fillId="0" borderId="113" xfId="172" applyNumberFormat="1" applyFont="1" applyFill="1" applyBorder="1"/>
    <xf numFmtId="3" fontId="42" fillId="0" borderId="111" xfId="172" applyNumberFormat="1" applyFont="1" applyFill="1" applyBorder="1"/>
    <xf numFmtId="3" fontId="43" fillId="0" borderId="0" xfId="172" applyNumberFormat="1" applyFont="1" applyFill="1"/>
    <xf numFmtId="3" fontId="43" fillId="0" borderId="0" xfId="172" applyNumberFormat="1" applyFont="1" applyFill="1" applyAlignment="1"/>
    <xf numFmtId="3" fontId="43" fillId="0" borderId="0" xfId="172" applyNumberFormat="1" applyFont="1" applyFill="1" applyBorder="1"/>
    <xf numFmtId="0" fontId="43" fillId="0" borderId="0" xfId="172" applyFont="1" applyFill="1"/>
    <xf numFmtId="3" fontId="43" fillId="0" borderId="0" xfId="174" applyNumberFormat="1" applyFont="1" applyFill="1" applyBorder="1" applyAlignment="1">
      <alignment wrapText="1"/>
    </xf>
    <xf numFmtId="0" fontId="37" fillId="0" borderId="0" xfId="172" applyFont="1" applyFill="1" applyBorder="1"/>
    <xf numFmtId="0" fontId="43" fillId="0" borderId="0" xfId="172" applyFont="1" applyFill="1" applyBorder="1"/>
    <xf numFmtId="0" fontId="44" fillId="0" borderId="0" xfId="172" applyFont="1" applyFill="1" applyBorder="1"/>
    <xf numFmtId="0" fontId="47" fillId="0" borderId="0" xfId="172" applyFont="1" applyFill="1" applyBorder="1"/>
    <xf numFmtId="0" fontId="17" fillId="0" borderId="0" xfId="171" applyFont="1" applyFill="1" applyAlignment="1"/>
    <xf numFmtId="0" fontId="46" fillId="0" borderId="10" xfId="171" applyFont="1" applyFill="1" applyBorder="1" applyAlignment="1">
      <alignment horizontal="centerContinuous"/>
    </xf>
    <xf numFmtId="0" fontId="46" fillId="0" borderId="35" xfId="171" applyFont="1" applyFill="1" applyBorder="1" applyAlignment="1">
      <alignment horizontal="centerContinuous"/>
    </xf>
    <xf numFmtId="0" fontId="47" fillId="0" borderId="0" xfId="171" applyFont="1" applyFill="1" applyAlignment="1">
      <alignment horizontal="centerContinuous"/>
    </xf>
    <xf numFmtId="0" fontId="46" fillId="0" borderId="79" xfId="171" applyFont="1" applyFill="1" applyBorder="1" applyAlignment="1">
      <alignment horizontal="center" wrapText="1"/>
    </xf>
    <xf numFmtId="0" fontId="46" fillId="0" borderId="44" xfId="171" applyFont="1" applyFill="1" applyBorder="1" applyAlignment="1">
      <alignment horizontal="centerContinuous" wrapText="1"/>
    </xf>
    <xf numFmtId="3" fontId="46" fillId="0" borderId="44" xfId="171" applyNumberFormat="1" applyFont="1" applyFill="1" applyBorder="1" applyAlignment="1">
      <alignment horizontal="centerContinuous" wrapText="1"/>
    </xf>
    <xf numFmtId="3" fontId="46" fillId="0" borderId="79" xfId="171" applyNumberFormat="1" applyFont="1" applyFill="1" applyBorder="1" applyAlignment="1">
      <alignment horizontal="centerContinuous" wrapText="1"/>
    </xf>
    <xf numFmtId="0" fontId="47" fillId="0" borderId="0" xfId="171" applyFont="1" applyFill="1" applyAlignment="1">
      <alignment horizontal="centerContinuous" wrapText="1"/>
    </xf>
    <xf numFmtId="0" fontId="46" fillId="0" borderId="46" xfId="171" applyFont="1" applyFill="1" applyBorder="1" applyAlignment="1">
      <alignment horizontal="centerContinuous" wrapText="1"/>
    </xf>
    <xf numFmtId="0" fontId="46" fillId="0" borderId="47" xfId="171" applyFont="1" applyFill="1" applyBorder="1" applyAlignment="1">
      <alignment horizontal="centerContinuous" wrapText="1"/>
    </xf>
    <xf numFmtId="3" fontId="46" fillId="0" borderId="105" xfId="171" applyNumberFormat="1" applyFont="1" applyFill="1" applyBorder="1" applyAlignment="1">
      <alignment horizontal="centerContinuous" wrapText="1"/>
    </xf>
    <xf numFmtId="3" fontId="46" fillId="0" borderId="106" xfId="171" applyNumberFormat="1" applyFont="1" applyFill="1" applyBorder="1" applyAlignment="1">
      <alignment horizontal="centerContinuous" wrapText="1"/>
    </xf>
    <xf numFmtId="0" fontId="47" fillId="0" borderId="49" xfId="171" applyFont="1" applyFill="1" applyBorder="1"/>
    <xf numFmtId="3" fontId="47" fillId="0" borderId="51" xfId="171" applyNumberFormat="1" applyFont="1" applyFill="1" applyBorder="1"/>
    <xf numFmtId="3" fontId="47" fillId="0" borderId="107" xfId="171" applyNumberFormat="1" applyFont="1" applyFill="1" applyBorder="1"/>
    <xf numFmtId="3" fontId="47" fillId="0" borderId="87" xfId="171" applyNumberFormat="1" applyFont="1" applyFill="1" applyBorder="1"/>
    <xf numFmtId="3" fontId="17" fillId="0" borderId="53" xfId="171" applyNumberFormat="1" applyFont="1" applyFill="1" applyBorder="1"/>
    <xf numFmtId="3" fontId="17" fillId="0" borderId="54" xfId="171" applyNumberFormat="1" applyFont="1" applyFill="1" applyBorder="1"/>
    <xf numFmtId="3" fontId="17" fillId="0" borderId="55" xfId="171" applyNumberFormat="1" applyFont="1" applyFill="1" applyBorder="1"/>
    <xf numFmtId="3" fontId="17" fillId="0" borderId="45" xfId="171" applyNumberFormat="1" applyFont="1" applyFill="1" applyBorder="1"/>
    <xf numFmtId="0" fontId="47" fillId="0" borderId="11" xfId="171" applyFont="1" applyFill="1" applyBorder="1" applyAlignment="1">
      <alignment wrapText="1"/>
    </xf>
    <xf numFmtId="3" fontId="17" fillId="0" borderId="12" xfId="171" applyNumberFormat="1" applyFont="1" applyFill="1" applyBorder="1"/>
    <xf numFmtId="3" fontId="17" fillId="0" borderId="56" xfId="171" applyNumberFormat="1" applyFont="1" applyFill="1" applyBorder="1"/>
    <xf numFmtId="3" fontId="17" fillId="0" borderId="57" xfId="171" applyNumberFormat="1" applyFont="1" applyFill="1" applyBorder="1"/>
    <xf numFmtId="3" fontId="17" fillId="0" borderId="58" xfId="171" applyNumberFormat="1" applyFont="1" applyFill="1" applyBorder="1"/>
    <xf numFmtId="3" fontId="17" fillId="0" borderId="59" xfId="171" applyNumberFormat="1" applyFont="1" applyFill="1" applyBorder="1"/>
    <xf numFmtId="3" fontId="17" fillId="0" borderId="48" xfId="171" applyNumberFormat="1" applyFont="1" applyFill="1" applyBorder="1"/>
    <xf numFmtId="0" fontId="17" fillId="0" borderId="11" xfId="171" applyFont="1" applyFill="1" applyBorder="1" applyAlignment="1">
      <alignment wrapText="1"/>
    </xf>
    <xf numFmtId="0" fontId="17" fillId="0" borderId="11" xfId="171" applyFont="1" applyFill="1" applyBorder="1"/>
    <xf numFmtId="0" fontId="17" fillId="0" borderId="12" xfId="171" applyFont="1" applyFill="1" applyBorder="1"/>
    <xf numFmtId="3" fontId="48" fillId="0" borderId="56" xfId="171" applyNumberFormat="1" applyFont="1" applyFill="1" applyBorder="1"/>
    <xf numFmtId="3" fontId="48" fillId="0" borderId="21" xfId="171" applyNumberFormat="1" applyFont="1" applyFill="1" applyBorder="1"/>
    <xf numFmtId="0" fontId="18" fillId="0" borderId="15" xfId="171" applyFont="1" applyFill="1" applyBorder="1"/>
    <xf numFmtId="0" fontId="46" fillId="0" borderId="10" xfId="171" applyFont="1" applyFill="1" applyBorder="1"/>
    <xf numFmtId="3" fontId="16" fillId="0" borderId="15" xfId="171" applyNumberFormat="1" applyFont="1" applyFill="1" applyBorder="1"/>
    <xf numFmtId="0" fontId="17" fillId="0" borderId="13" xfId="171" applyFont="1" applyFill="1" applyBorder="1"/>
    <xf numFmtId="0" fontId="17" fillId="0" borderId="40" xfId="171" applyFont="1" applyFill="1" applyBorder="1"/>
    <xf numFmtId="0" fontId="46" fillId="0" borderId="42" xfId="174" applyFont="1" applyFill="1" applyBorder="1" applyAlignment="1">
      <alignment wrapText="1"/>
    </xf>
    <xf numFmtId="0" fontId="46" fillId="0" borderId="0" xfId="174" applyFont="1" applyFill="1" applyBorder="1" applyAlignment="1">
      <alignment wrapText="1"/>
    </xf>
    <xf numFmtId="3" fontId="42" fillId="0" borderId="17" xfId="172" applyNumberFormat="1" applyFont="1" applyFill="1" applyBorder="1" applyAlignment="1">
      <alignment wrapText="1"/>
    </xf>
    <xf numFmtId="3" fontId="37" fillId="0" borderId="24" xfId="172" applyNumberFormat="1" applyFont="1" applyFill="1" applyBorder="1" applyAlignment="1">
      <alignment wrapText="1"/>
    </xf>
    <xf numFmtId="3" fontId="37" fillId="0" borderId="65" xfId="172" applyNumberFormat="1" applyFont="1" applyFill="1" applyBorder="1"/>
    <xf numFmtId="3" fontId="42" fillId="0" borderId="24" xfId="172" applyNumberFormat="1" applyFont="1" applyFill="1" applyBorder="1" applyAlignment="1">
      <alignment wrapText="1"/>
    </xf>
    <xf numFmtId="3" fontId="43" fillId="0" borderId="65" xfId="172" applyNumberFormat="1" applyFont="1" applyFill="1" applyBorder="1" applyAlignment="1">
      <alignment wrapText="1"/>
    </xf>
    <xf numFmtId="3" fontId="43" fillId="0" borderId="73" xfId="172" applyNumberFormat="1" applyFont="1" applyFill="1" applyBorder="1" applyAlignment="1">
      <alignment wrapText="1"/>
    </xf>
    <xf numFmtId="3" fontId="43" fillId="0" borderId="74" xfId="172" applyNumberFormat="1" applyFont="1" applyFill="1" applyBorder="1" applyAlignment="1">
      <alignment wrapText="1"/>
    </xf>
    <xf numFmtId="0" fontId="46" fillId="0" borderId="10" xfId="171" applyFont="1" applyFill="1" applyBorder="1" applyAlignment="1">
      <alignment horizontal="centerContinuous" wrapText="1"/>
    </xf>
    <xf numFmtId="0" fontId="46" fillId="0" borderId="80" xfId="171" applyFont="1" applyFill="1" applyBorder="1" applyAlignment="1">
      <alignment horizontal="centerContinuous" wrapText="1"/>
    </xf>
    <xf numFmtId="3" fontId="17" fillId="0" borderId="36" xfId="171" applyNumberFormat="1" applyFont="1" applyFill="1" applyBorder="1"/>
    <xf numFmtId="3" fontId="42" fillId="0" borderId="94" xfId="197" applyNumberFormat="1" applyFont="1" applyFill="1" applyBorder="1"/>
    <xf numFmtId="3" fontId="43" fillId="0" borderId="94" xfId="197" applyNumberFormat="1" applyFont="1" applyFill="1" applyBorder="1"/>
    <xf numFmtId="3" fontId="42" fillId="0" borderId="33" xfId="195" applyNumberFormat="1" applyFont="1" applyFill="1" applyBorder="1" applyAlignment="1">
      <alignment horizontal="center" vertical="center" wrapText="1"/>
    </xf>
    <xf numFmtId="0" fontId="43" fillId="0" borderId="128" xfId="157" applyFont="1" applyFill="1" applyBorder="1"/>
    <xf numFmtId="0" fontId="43" fillId="0" borderId="0" xfId="157" applyFont="1" applyFill="1"/>
    <xf numFmtId="0" fontId="42" fillId="0" borderId="56" xfId="196" applyFont="1" applyFill="1" applyBorder="1" applyAlignment="1">
      <alignment wrapText="1"/>
    </xf>
    <xf numFmtId="0" fontId="43" fillId="0" borderId="94" xfId="196" applyFont="1" applyFill="1" applyBorder="1" applyAlignment="1">
      <alignment wrapText="1"/>
    </xf>
    <xf numFmtId="0" fontId="43" fillId="0" borderId="0" xfId="196" applyFont="1" applyFill="1"/>
    <xf numFmtId="0" fontId="43" fillId="0" borderId="56" xfId="196" applyFont="1" applyFill="1" applyBorder="1" applyAlignment="1">
      <alignment wrapText="1"/>
    </xf>
    <xf numFmtId="0" fontId="42" fillId="0" borderId="94" xfId="196" applyFont="1" applyFill="1" applyBorder="1" applyAlignment="1">
      <alignment wrapText="1"/>
    </xf>
    <xf numFmtId="3" fontId="42" fillId="0" borderId="56" xfId="196" applyNumberFormat="1" applyFont="1" applyFill="1" applyBorder="1" applyAlignment="1">
      <alignment wrapText="1"/>
    </xf>
    <xf numFmtId="0" fontId="42" fillId="0" borderId="0" xfId="196" applyFont="1" applyFill="1"/>
    <xf numFmtId="3" fontId="43" fillId="0" borderId="0" xfId="196" applyNumberFormat="1" applyFont="1" applyFill="1"/>
    <xf numFmtId="0" fontId="43" fillId="0" borderId="0" xfId="196" applyFont="1" applyFill="1" applyAlignment="1">
      <alignment wrapText="1"/>
    </xf>
    <xf numFmtId="0" fontId="43" fillId="0" borderId="56" xfId="196" applyFont="1" applyFill="1" applyBorder="1"/>
    <xf numFmtId="0" fontId="43" fillId="0" borderId="59" xfId="196" applyFont="1" applyFill="1" applyBorder="1" applyAlignment="1">
      <alignment wrapText="1"/>
    </xf>
    <xf numFmtId="3" fontId="42" fillId="0" borderId="56" xfId="196" applyNumberFormat="1" applyFont="1" applyFill="1" applyBorder="1"/>
    <xf numFmtId="0" fontId="42" fillId="0" borderId="119" xfId="196" applyFont="1" applyFill="1" applyBorder="1"/>
    <xf numFmtId="0" fontId="42" fillId="0" borderId="120" xfId="196" applyFont="1" applyFill="1" applyBorder="1"/>
    <xf numFmtId="3" fontId="42" fillId="0" borderId="33" xfId="196" applyNumberFormat="1" applyFont="1" applyFill="1" applyBorder="1" applyAlignment="1">
      <alignment wrapText="1"/>
    </xf>
    <xf numFmtId="0" fontId="42" fillId="0" borderId="33" xfId="206" applyFont="1" applyFill="1" applyBorder="1" applyAlignment="1">
      <alignment horizontal="center" vertical="center" wrapText="1"/>
    </xf>
    <xf numFmtId="0" fontId="42" fillId="0" borderId="61" xfId="206" applyFont="1" applyFill="1" applyBorder="1" applyAlignment="1">
      <alignment horizontal="center" vertical="center"/>
    </xf>
    <xf numFmtId="0" fontId="43" fillId="0" borderId="0" xfId="206" applyFont="1" applyFill="1" applyAlignment="1">
      <alignment horizontal="center"/>
    </xf>
    <xf numFmtId="3" fontId="42" fillId="0" borderId="95" xfId="0" applyNumberFormat="1" applyFont="1" applyFill="1" applyBorder="1"/>
    <xf numFmtId="0" fontId="42" fillId="0" borderId="56" xfId="196" applyFont="1" applyFill="1" applyBorder="1"/>
    <xf numFmtId="3" fontId="42" fillId="0" borderId="94" xfId="0" applyNumberFormat="1" applyFont="1" applyFill="1" applyBorder="1"/>
    <xf numFmtId="0" fontId="43" fillId="0" borderId="56" xfId="0" applyFont="1" applyFill="1" applyBorder="1" applyAlignment="1">
      <alignment wrapText="1"/>
    </xf>
    <xf numFmtId="3" fontId="43" fillId="0" borderId="94" xfId="0" applyNumberFormat="1" applyFont="1" applyFill="1" applyBorder="1"/>
    <xf numFmtId="3" fontId="43" fillId="0" borderId="95" xfId="0" applyNumberFormat="1" applyFont="1" applyFill="1" applyBorder="1"/>
    <xf numFmtId="0" fontId="44" fillId="0" borderId="56" xfId="196" applyFont="1" applyFill="1" applyBorder="1" applyAlignment="1">
      <alignment wrapText="1"/>
    </xf>
    <xf numFmtId="0" fontId="43" fillId="0" borderId="101" xfId="196" applyFont="1" applyFill="1" applyBorder="1" applyAlignment="1">
      <alignment wrapText="1"/>
    </xf>
    <xf numFmtId="3" fontId="43" fillId="0" borderId="128" xfId="0" applyNumberFormat="1" applyFont="1" applyFill="1" applyBorder="1"/>
    <xf numFmtId="0" fontId="42" fillId="0" borderId="33" xfId="196" applyFont="1" applyFill="1" applyBorder="1" applyAlignment="1">
      <alignment wrapText="1"/>
    </xf>
    <xf numFmtId="3" fontId="42" fillId="0" borderId="61" xfId="0" applyNumberFormat="1" applyFont="1" applyFill="1" applyBorder="1"/>
    <xf numFmtId="3" fontId="43" fillId="0" borderId="95" xfId="196" applyNumberFormat="1" applyFont="1" applyFill="1" applyBorder="1" applyAlignment="1">
      <alignment wrapText="1"/>
    </xf>
    <xf numFmtId="3" fontId="43" fillId="0" borderId="94" xfId="196" applyNumberFormat="1" applyFont="1" applyFill="1" applyBorder="1" applyAlignment="1">
      <alignment wrapText="1"/>
    </xf>
    <xf numFmtId="0" fontId="43" fillId="0" borderId="56" xfId="206" applyFont="1" applyFill="1" applyBorder="1" applyAlignment="1">
      <alignment wrapText="1"/>
    </xf>
    <xf numFmtId="3" fontId="42" fillId="0" borderId="94" xfId="196" applyNumberFormat="1" applyFont="1" applyFill="1" applyBorder="1" applyAlignment="1">
      <alignment wrapText="1"/>
    </xf>
    <xf numFmtId="0" fontId="43" fillId="0" borderId="75" xfId="196" applyFont="1" applyFill="1" applyBorder="1" applyAlignment="1">
      <alignment wrapText="1"/>
    </xf>
    <xf numFmtId="3" fontId="43" fillId="0" borderId="121" xfId="196" applyNumberFormat="1" applyFont="1" applyFill="1" applyBorder="1" applyAlignment="1">
      <alignment wrapText="1"/>
    </xf>
    <xf numFmtId="3" fontId="42" fillId="0" borderId="61" xfId="196" applyNumberFormat="1" applyFont="1" applyFill="1" applyBorder="1" applyAlignment="1">
      <alignment wrapText="1"/>
    </xf>
    <xf numFmtId="0" fontId="42" fillId="0" borderId="101" xfId="196" applyFont="1" applyFill="1" applyBorder="1" applyAlignment="1">
      <alignment wrapText="1"/>
    </xf>
    <xf numFmtId="3" fontId="42" fillId="0" borderId="128" xfId="196" applyNumberFormat="1" applyFont="1" applyFill="1" applyBorder="1" applyAlignment="1">
      <alignment wrapText="1"/>
    </xf>
    <xf numFmtId="0" fontId="17" fillId="0" borderId="88" xfId="195" applyFont="1" applyFill="1" applyBorder="1" applyAlignment="1">
      <alignment horizontal="center"/>
    </xf>
    <xf numFmtId="0" fontId="17" fillId="0" borderId="88" xfId="195" applyFont="1" applyFill="1" applyBorder="1" applyAlignment="1">
      <alignment horizontal="center" wrapText="1"/>
    </xf>
    <xf numFmtId="3" fontId="17" fillId="0" borderId="92" xfId="195" applyNumberFormat="1" applyFont="1" applyFill="1" applyBorder="1" applyAlignment="1">
      <alignment horizontal="center" wrapText="1"/>
    </xf>
    <xf numFmtId="3" fontId="17" fillId="0" borderId="89" xfId="195" applyNumberFormat="1" applyFont="1" applyFill="1" applyBorder="1" applyAlignment="1">
      <alignment horizontal="center" wrapText="1"/>
    </xf>
    <xf numFmtId="0" fontId="17" fillId="0" borderId="84" xfId="195" applyFont="1" applyFill="1" applyBorder="1" applyAlignment="1">
      <alignment horizontal="right"/>
    </xf>
    <xf numFmtId="3" fontId="17" fillId="0" borderId="91" xfId="195" applyNumberFormat="1" applyFont="1" applyFill="1" applyBorder="1" applyAlignment="1">
      <alignment wrapText="1"/>
    </xf>
    <xf numFmtId="3" fontId="17" fillId="0" borderId="93" xfId="195" applyNumberFormat="1" applyFont="1" applyFill="1" applyBorder="1"/>
    <xf numFmtId="3" fontId="17" fillId="0" borderId="93" xfId="195" applyNumberFormat="1" applyFont="1" applyFill="1" applyBorder="1" applyAlignment="1">
      <alignment horizontal="center"/>
    </xf>
    <xf numFmtId="0" fontId="17" fillId="0" borderId="85" xfId="195" applyFont="1" applyFill="1" applyBorder="1" applyAlignment="1">
      <alignment horizontal="right"/>
    </xf>
    <xf numFmtId="3" fontId="17" fillId="0" borderId="56" xfId="195" applyNumberFormat="1" applyFont="1" applyFill="1" applyBorder="1" applyAlignment="1">
      <alignment wrapText="1"/>
    </xf>
    <xf numFmtId="3" fontId="17" fillId="0" borderId="31" xfId="195" applyNumberFormat="1" applyFont="1" applyFill="1" applyBorder="1"/>
    <xf numFmtId="3" fontId="17" fillId="0" borderId="31" xfId="195" applyNumberFormat="1" applyFont="1" applyFill="1" applyBorder="1" applyAlignment="1">
      <alignment horizontal="center"/>
    </xf>
    <xf numFmtId="0" fontId="17" fillId="0" borderId="56" xfId="195" applyFont="1" applyFill="1" applyBorder="1" applyAlignment="1">
      <alignment wrapText="1"/>
    </xf>
    <xf numFmtId="0" fontId="44" fillId="0" borderId="85" xfId="195" applyFont="1" applyFill="1" applyBorder="1" applyAlignment="1">
      <alignment horizontal="right"/>
    </xf>
    <xf numFmtId="0" fontId="37" fillId="0" borderId="56" xfId="195" applyFont="1" applyFill="1" applyBorder="1" applyAlignment="1">
      <alignment wrapText="1"/>
    </xf>
    <xf numFmtId="3" fontId="37" fillId="0" borderId="94" xfId="195" applyNumberFormat="1" applyFont="1" applyFill="1" applyBorder="1" applyAlignment="1">
      <alignment wrapText="1"/>
    </xf>
    <xf numFmtId="3" fontId="37" fillId="0" borderId="31" xfId="195" applyNumberFormat="1" applyFont="1" applyFill="1" applyBorder="1"/>
    <xf numFmtId="3" fontId="43" fillId="0" borderId="31" xfId="195" applyNumberFormat="1" applyFont="1" applyFill="1" applyBorder="1"/>
    <xf numFmtId="3" fontId="37" fillId="0" borderId="31" xfId="195" applyNumberFormat="1" applyFont="1" applyFill="1" applyBorder="1" applyAlignment="1">
      <alignment horizontal="center"/>
    </xf>
    <xf numFmtId="0" fontId="37" fillId="0" borderId="0" xfId="157" applyFont="1" applyFill="1"/>
    <xf numFmtId="3" fontId="37" fillId="0" borderId="94" xfId="195" applyNumberFormat="1" applyFont="1" applyFill="1" applyBorder="1" applyAlignment="1">
      <alignment horizontal="center"/>
    </xf>
    <xf numFmtId="3" fontId="37" fillId="0" borderId="94" xfId="195" applyNumberFormat="1" applyFont="1" applyFill="1" applyBorder="1"/>
    <xf numFmtId="0" fontId="18" fillId="0" borderId="56" xfId="195" applyFont="1" applyFill="1" applyBorder="1" applyAlignment="1">
      <alignment wrapText="1"/>
    </xf>
    <xf numFmtId="3" fontId="18" fillId="0" borderId="94" xfId="195" applyNumberFormat="1" applyFont="1" applyFill="1" applyBorder="1"/>
    <xf numFmtId="3" fontId="18" fillId="0" borderId="94" xfId="195" applyNumberFormat="1" applyFont="1" applyFill="1" applyBorder="1" applyAlignment="1">
      <alignment horizontal="center"/>
    </xf>
    <xf numFmtId="0" fontId="18" fillId="0" borderId="56" xfId="157" applyFont="1" applyFill="1" applyBorder="1" applyAlignment="1">
      <alignment wrapText="1"/>
    </xf>
    <xf numFmtId="3" fontId="17" fillId="0" borderId="31" xfId="195" applyNumberFormat="1" applyFont="1" applyFill="1" applyBorder="1" applyAlignment="1">
      <alignment wrapText="1"/>
    </xf>
    <xf numFmtId="3" fontId="17" fillId="0" borderId="31" xfId="195" applyNumberFormat="1" applyFont="1" applyFill="1" applyBorder="1" applyAlignment="1">
      <alignment horizontal="center" wrapText="1"/>
    </xf>
    <xf numFmtId="3" fontId="18" fillId="0" borderId="31" xfId="195" applyNumberFormat="1" applyFont="1" applyFill="1" applyBorder="1"/>
    <xf numFmtId="3" fontId="18" fillId="0" borderId="31" xfId="195" applyNumberFormat="1" applyFont="1" applyFill="1" applyBorder="1" applyAlignment="1">
      <alignment horizontal="center"/>
    </xf>
    <xf numFmtId="0" fontId="16" fillId="0" borderId="56" xfId="157" applyFont="1" applyFill="1" applyBorder="1" applyAlignment="1">
      <alignment wrapText="1"/>
    </xf>
    <xf numFmtId="0" fontId="42" fillId="0" borderId="85" xfId="195" applyFont="1" applyFill="1" applyBorder="1" applyAlignment="1">
      <alignment horizontal="right"/>
    </xf>
    <xf numFmtId="0" fontId="37" fillId="0" borderId="56" xfId="157" applyFont="1" applyFill="1" applyBorder="1" applyAlignment="1">
      <alignment wrapText="1"/>
    </xf>
    <xf numFmtId="3" fontId="37" fillId="0" borderId="94" xfId="157" applyNumberFormat="1" applyFont="1" applyFill="1" applyBorder="1" applyAlignment="1">
      <alignment wrapText="1"/>
    </xf>
    <xf numFmtId="3" fontId="37" fillId="0" borderId="56" xfId="195" applyNumberFormat="1" applyFont="1" applyFill="1" applyBorder="1" applyAlignment="1">
      <alignment horizontal="center"/>
    </xf>
    <xf numFmtId="0" fontId="37" fillId="0" borderId="56" xfId="157" applyFont="1" applyFill="1" applyBorder="1" applyAlignment="1">
      <alignment horizontal="left" wrapText="1"/>
    </xf>
    <xf numFmtId="3" fontId="37" fillId="0" borderId="94" xfId="157" applyNumberFormat="1" applyFont="1" applyFill="1" applyBorder="1" applyAlignment="1">
      <alignment horizontal="right" wrapText="1"/>
    </xf>
    <xf numFmtId="0" fontId="17" fillId="0" borderId="56" xfId="195" applyFont="1" applyFill="1" applyBorder="1" applyAlignment="1">
      <alignment horizontal="right"/>
    </xf>
    <xf numFmtId="0" fontId="17" fillId="0" borderId="33" xfId="195" applyFont="1" applyFill="1" applyBorder="1" applyAlignment="1">
      <alignment wrapText="1"/>
    </xf>
    <xf numFmtId="3" fontId="17" fillId="0" borderId="67" xfId="195" applyNumberFormat="1" applyFont="1" applyFill="1" applyBorder="1"/>
    <xf numFmtId="3" fontId="17" fillId="0" borderId="67" xfId="195" applyNumberFormat="1" applyFont="1" applyFill="1" applyBorder="1" applyAlignment="1">
      <alignment horizontal="center"/>
    </xf>
    <xf numFmtId="0" fontId="17" fillId="0" borderId="75" xfId="195" applyFont="1" applyFill="1" applyBorder="1" applyAlignment="1">
      <alignment horizontal="right"/>
    </xf>
    <xf numFmtId="3" fontId="18" fillId="0" borderId="95" xfId="195" applyNumberFormat="1" applyFont="1" applyFill="1" applyBorder="1"/>
    <xf numFmtId="3" fontId="18" fillId="0" borderId="95" xfId="195" applyNumberFormat="1" applyFont="1" applyFill="1" applyBorder="1" applyAlignment="1">
      <alignment horizontal="center"/>
    </xf>
    <xf numFmtId="0" fontId="17" fillId="0" borderId="90" xfId="195" applyFont="1" applyFill="1" applyBorder="1" applyAlignment="1">
      <alignment horizontal="right"/>
    </xf>
    <xf numFmtId="3" fontId="17" fillId="0" borderId="33" xfId="195" applyNumberFormat="1" applyFont="1" applyFill="1" applyBorder="1"/>
    <xf numFmtId="3" fontId="17" fillId="0" borderId="33" xfId="195" applyNumberFormat="1" applyFont="1" applyFill="1" applyBorder="1" applyAlignment="1">
      <alignment horizontal="center"/>
    </xf>
    <xf numFmtId="3" fontId="54" fillId="0" borderId="33" xfId="0" applyNumberFormat="1" applyFont="1" applyFill="1" applyBorder="1" applyAlignment="1">
      <alignment horizontal="center" vertical="center" wrapText="1"/>
    </xf>
    <xf numFmtId="3" fontId="54" fillId="0" borderId="60" xfId="0" applyNumberFormat="1" applyFont="1" applyFill="1" applyBorder="1" applyAlignment="1">
      <alignment horizontal="center" vertical="center" wrapText="1"/>
    </xf>
    <xf numFmtId="3" fontId="54" fillId="0" borderId="61" xfId="0" applyNumberFormat="1" applyFont="1" applyFill="1" applyBorder="1" applyAlignment="1">
      <alignment horizontal="center" vertical="center" wrapText="1"/>
    </xf>
    <xf numFmtId="3" fontId="54" fillId="0" borderId="68" xfId="0" applyNumberFormat="1" applyFont="1" applyFill="1" applyBorder="1" applyAlignment="1">
      <alignment horizontal="center" vertical="center" wrapText="1"/>
    </xf>
    <xf numFmtId="3" fontId="17" fillId="0" borderId="33" xfId="0" applyNumberFormat="1" applyFont="1" applyFill="1" applyBorder="1" applyAlignment="1">
      <alignment horizontal="center" vertical="center"/>
    </xf>
    <xf numFmtId="3" fontId="17" fillId="0" borderId="60" xfId="0" applyNumberFormat="1" applyFont="1" applyFill="1" applyBorder="1" applyAlignment="1">
      <alignment horizontal="center" vertical="center"/>
    </xf>
    <xf numFmtId="3" fontId="17" fillId="0" borderId="61" xfId="0" applyNumberFormat="1" applyFont="1" applyFill="1" applyBorder="1" applyAlignment="1">
      <alignment horizontal="center" vertical="center"/>
    </xf>
    <xf numFmtId="3" fontId="17" fillId="0" borderId="68" xfId="0" applyNumberFormat="1" applyFont="1" applyFill="1" applyBorder="1" applyAlignment="1">
      <alignment horizontal="center" vertical="center"/>
    </xf>
    <xf numFmtId="3" fontId="17" fillId="0" borderId="0" xfId="0" applyNumberFormat="1" applyFont="1" applyFill="1" applyAlignment="1">
      <alignment horizontal="center" vertical="center"/>
    </xf>
    <xf numFmtId="3" fontId="17" fillId="0" borderId="62" xfId="0" applyNumberFormat="1" applyFont="1" applyFill="1" applyBorder="1"/>
    <xf numFmtId="3" fontId="17" fillId="0" borderId="30" xfId="0" applyNumberFormat="1" applyFont="1" applyFill="1" applyBorder="1" applyAlignment="1">
      <alignment wrapText="1"/>
    </xf>
    <xf numFmtId="3" fontId="17" fillId="0" borderId="63" xfId="0" applyNumberFormat="1" applyFont="1" applyFill="1" applyBorder="1"/>
    <xf numFmtId="3" fontId="17" fillId="0" borderId="19" xfId="0" applyNumberFormat="1" applyFont="1" applyFill="1" applyBorder="1"/>
    <xf numFmtId="3" fontId="17" fillId="0" borderId="59" xfId="0" applyNumberFormat="1" applyFont="1" applyFill="1" applyBorder="1"/>
    <xf numFmtId="3" fontId="17" fillId="0" borderId="91" xfId="0" applyNumberFormat="1" applyFont="1" applyFill="1" applyBorder="1"/>
    <xf numFmtId="3" fontId="17" fillId="0" borderId="0" xfId="0" applyNumberFormat="1" applyFont="1" applyFill="1"/>
    <xf numFmtId="3" fontId="49" fillId="0" borderId="62" xfId="0" applyNumberFormat="1" applyFont="1" applyFill="1" applyBorder="1"/>
    <xf numFmtId="3" fontId="49" fillId="0" borderId="31" xfId="0" applyNumberFormat="1" applyFont="1" applyFill="1" applyBorder="1" applyAlignment="1">
      <alignment wrapText="1"/>
    </xf>
    <xf numFmtId="3" fontId="49" fillId="0" borderId="63" xfId="0" applyNumberFormat="1" applyFont="1" applyFill="1" applyBorder="1"/>
    <xf numFmtId="3" fontId="49" fillId="0" borderId="24" xfId="0" applyNumberFormat="1" applyFont="1" applyFill="1" applyBorder="1"/>
    <xf numFmtId="3" fontId="49" fillId="0" borderId="19" xfId="0" applyNumberFormat="1" applyFont="1" applyFill="1" applyBorder="1"/>
    <xf numFmtId="3" fontId="49" fillId="0" borderId="59" xfId="0" applyNumberFormat="1" applyFont="1" applyFill="1" applyBorder="1"/>
    <xf numFmtId="3" fontId="49" fillId="0" borderId="0" xfId="0" applyNumberFormat="1" applyFont="1" applyFill="1"/>
    <xf numFmtId="3" fontId="17" fillId="0" borderId="56" xfId="0" applyNumberFormat="1" applyFont="1" applyFill="1" applyBorder="1"/>
    <xf numFmtId="3" fontId="17" fillId="0" borderId="69" xfId="0" applyNumberFormat="1" applyFont="1" applyFill="1" applyBorder="1" applyAlignment="1">
      <alignment wrapText="1"/>
    </xf>
    <xf numFmtId="3" fontId="49" fillId="0" borderId="69" xfId="0" applyNumberFormat="1" applyFont="1" applyFill="1" applyBorder="1" applyAlignment="1">
      <alignment wrapText="1"/>
    </xf>
    <xf numFmtId="3" fontId="18" fillId="0" borderId="62" xfId="0" applyNumberFormat="1" applyFont="1" applyFill="1" applyBorder="1"/>
    <xf numFmtId="3" fontId="18" fillId="0" borderId="63" xfId="0" applyNumberFormat="1" applyFont="1" applyFill="1" applyBorder="1"/>
    <xf numFmtId="3" fontId="18" fillId="0" borderId="19" xfId="0" applyNumberFormat="1" applyFont="1" applyFill="1" applyBorder="1"/>
    <xf numFmtId="3" fontId="18" fillId="0" borderId="59" xfId="0" applyNumberFormat="1" applyFont="1" applyFill="1" applyBorder="1"/>
    <xf numFmtId="3" fontId="18" fillId="0" borderId="56" xfId="0" applyNumberFormat="1" applyFont="1" applyFill="1" applyBorder="1"/>
    <xf numFmtId="3" fontId="18" fillId="0" borderId="0" xfId="0" applyNumberFormat="1" applyFont="1" applyFill="1"/>
    <xf numFmtId="3" fontId="17" fillId="0" borderId="32" xfId="0" applyNumberFormat="1" applyFont="1" applyFill="1" applyBorder="1"/>
    <xf numFmtId="0" fontId="0" fillId="0" borderId="31" xfId="194" applyFont="1" applyFill="1" applyBorder="1" applyAlignment="1">
      <alignment wrapText="1"/>
    </xf>
    <xf numFmtId="0" fontId="18" fillId="0" borderId="31" xfId="0" applyFont="1" applyFill="1" applyBorder="1" applyAlignment="1">
      <alignment wrapText="1"/>
    </xf>
    <xf numFmtId="0" fontId="17" fillId="0" borderId="31" xfId="0" applyFont="1" applyFill="1" applyBorder="1" applyAlignment="1">
      <alignment wrapText="1"/>
    </xf>
    <xf numFmtId="3" fontId="17" fillId="0" borderId="31" xfId="0" applyNumberFormat="1" applyFont="1" applyFill="1" applyBorder="1" applyAlignment="1">
      <alignment wrapText="1"/>
    </xf>
    <xf numFmtId="3" fontId="17" fillId="0" borderId="34" xfId="0" applyNumberFormat="1" applyFont="1" applyFill="1" applyBorder="1"/>
    <xf numFmtId="3" fontId="17" fillId="0" borderId="20" xfId="0" applyNumberFormat="1" applyFont="1" applyFill="1" applyBorder="1"/>
    <xf numFmtId="3" fontId="17" fillId="0" borderId="85" xfId="0" applyNumberFormat="1" applyFont="1" applyFill="1" applyBorder="1"/>
    <xf numFmtId="3" fontId="0" fillId="0" borderId="0" xfId="0" applyNumberFormat="1" applyFont="1" applyFill="1"/>
    <xf numFmtId="0" fontId="43" fillId="0" borderId="31" xfId="196" applyFont="1" applyFill="1" applyBorder="1" applyAlignment="1">
      <alignment wrapText="1"/>
    </xf>
    <xf numFmtId="0" fontId="17" fillId="0" borderId="31" xfId="194" applyFont="1" applyFill="1" applyBorder="1" applyAlignment="1">
      <alignment wrapText="1"/>
    </xf>
    <xf numFmtId="3" fontId="17" fillId="0" borderId="66" xfId="0" applyNumberFormat="1" applyFont="1" applyFill="1" applyBorder="1"/>
    <xf numFmtId="3" fontId="17" fillId="0" borderId="67" xfId="0" applyNumberFormat="1" applyFont="1" applyFill="1" applyBorder="1" applyAlignment="1">
      <alignment wrapText="1"/>
    </xf>
    <xf numFmtId="3" fontId="17" fillId="0" borderId="33" xfId="0" applyNumberFormat="1" applyFont="1" applyFill="1" applyBorder="1"/>
    <xf numFmtId="3" fontId="17" fillId="0" borderId="65" xfId="0" applyNumberFormat="1" applyFont="1" applyFill="1" applyBorder="1"/>
    <xf numFmtId="3" fontId="17" fillId="0" borderId="75" xfId="0" applyNumberFormat="1" applyFont="1" applyFill="1" applyBorder="1"/>
    <xf numFmtId="3" fontId="17" fillId="0" borderId="70" xfId="0" applyNumberFormat="1" applyFont="1" applyFill="1" applyBorder="1"/>
    <xf numFmtId="3" fontId="17" fillId="0" borderId="71" xfId="0" applyNumberFormat="1" applyFont="1" applyFill="1" applyBorder="1" applyAlignment="1">
      <alignment wrapText="1"/>
    </xf>
    <xf numFmtId="3" fontId="17" fillId="0" borderId="72" xfId="0" applyNumberFormat="1" applyFont="1" applyFill="1" applyBorder="1"/>
    <xf numFmtId="3" fontId="17" fillId="0" borderId="74" xfId="0" applyNumberFormat="1" applyFont="1" applyFill="1" applyBorder="1"/>
    <xf numFmtId="3" fontId="17" fillId="0" borderId="102" xfId="0" applyNumberFormat="1" applyFont="1" applyFill="1" applyBorder="1"/>
    <xf numFmtId="3" fontId="17" fillId="0" borderId="76" xfId="0" applyNumberFormat="1" applyFont="1" applyFill="1" applyBorder="1" applyAlignment="1">
      <alignment wrapText="1"/>
    </xf>
    <xf numFmtId="3" fontId="17" fillId="0" borderId="76" xfId="0" applyNumberFormat="1" applyFont="1" applyFill="1" applyBorder="1"/>
    <xf numFmtId="0" fontId="17" fillId="0" borderId="87" xfId="171" applyFont="1" applyFill="1" applyBorder="1" applyAlignment="1">
      <alignment horizontal="center"/>
    </xf>
    <xf numFmtId="0" fontId="17" fillId="0" borderId="43" xfId="171" applyFont="1" applyFill="1" applyBorder="1" applyAlignment="1">
      <alignment horizontal="left" wrapText="1"/>
    </xf>
    <xf numFmtId="0" fontId="17" fillId="0" borderId="86" xfId="171" applyFont="1" applyFill="1" applyBorder="1" applyAlignment="1">
      <alignment horizontal="left" wrapText="1"/>
    </xf>
    <xf numFmtId="3" fontId="17" fillId="0" borderId="43" xfId="176" applyNumberFormat="1" applyFont="1" applyFill="1" applyBorder="1" applyAlignment="1">
      <alignment horizontal="right" wrapText="1"/>
    </xf>
    <xf numFmtId="0" fontId="17" fillId="0" borderId="36" xfId="171" applyFont="1" applyFill="1" applyBorder="1" applyAlignment="1">
      <alignment horizontal="left"/>
    </xf>
    <xf numFmtId="0" fontId="17" fillId="0" borderId="11" xfId="171" applyFont="1" applyFill="1" applyBorder="1" applyAlignment="1">
      <alignment horizontal="left" wrapText="1"/>
    </xf>
    <xf numFmtId="0" fontId="17" fillId="0" borderId="11" xfId="171" applyFont="1" applyFill="1" applyBorder="1" applyAlignment="1">
      <alignment horizontal="left"/>
    </xf>
    <xf numFmtId="0" fontId="17" fillId="0" borderId="0" xfId="0" applyFont="1" applyFill="1"/>
    <xf numFmtId="3" fontId="17" fillId="0" borderId="38" xfId="171" applyNumberFormat="1" applyFont="1" applyFill="1" applyBorder="1"/>
    <xf numFmtId="0" fontId="17" fillId="0" borderId="15" xfId="171" applyFont="1" applyFill="1" applyBorder="1"/>
    <xf numFmtId="0" fontId="42" fillId="0" borderId="61" xfId="206" applyFont="1" applyFill="1" applyBorder="1" applyAlignment="1">
      <alignment horizontal="center" vertical="center" wrapText="1"/>
    </xf>
    <xf numFmtId="0" fontId="0" fillId="0" borderId="31" xfId="0" applyFont="1" applyFill="1" applyBorder="1" applyAlignment="1">
      <alignment wrapText="1"/>
    </xf>
    <xf numFmtId="3" fontId="0" fillId="0" borderId="63" xfId="0" applyNumberFormat="1" applyFont="1" applyFill="1" applyBorder="1"/>
    <xf numFmtId="16" fontId="43" fillId="0" borderId="0" xfId="157" applyNumberFormat="1" applyFont="1" applyFill="1"/>
    <xf numFmtId="0" fontId="16" fillId="0" borderId="0" xfId="195" applyFont="1" applyFill="1" applyAlignment="1">
      <alignment horizontal="center"/>
    </xf>
    <xf numFmtId="3" fontId="16" fillId="0" borderId="31" xfId="195" applyNumberFormat="1" applyFont="1" applyFill="1" applyBorder="1" applyAlignment="1">
      <alignment horizontal="center"/>
    </xf>
    <xf numFmtId="3" fontId="16" fillId="0" borderId="69" xfId="195" applyNumberFormat="1" applyFont="1" applyFill="1" applyBorder="1" applyAlignment="1">
      <alignment horizontal="center"/>
    </xf>
    <xf numFmtId="3" fontId="16" fillId="0" borderId="0" xfId="195" applyNumberFormat="1" applyFont="1" applyFill="1" applyAlignment="1">
      <alignment horizontal="center"/>
    </xf>
    <xf numFmtId="0" fontId="16" fillId="0" borderId="11" xfId="174" applyFont="1" applyFill="1" applyBorder="1" applyAlignment="1">
      <alignment wrapText="1"/>
    </xf>
    <xf numFmtId="3" fontId="16" fillId="0" borderId="36" xfId="174" applyNumberFormat="1" applyFont="1" applyFill="1" applyBorder="1"/>
    <xf numFmtId="3" fontId="16" fillId="0" borderId="37" xfId="174" applyNumberFormat="1" applyFont="1" applyFill="1" applyBorder="1"/>
    <xf numFmtId="0" fontId="16" fillId="0" borderId="38" xfId="171" applyFont="1" applyFill="1" applyBorder="1" applyAlignment="1">
      <alignment wrapText="1"/>
    </xf>
    <xf numFmtId="0" fontId="16" fillId="0" borderId="38" xfId="171" applyFont="1" applyFill="1" applyBorder="1"/>
    <xf numFmtId="3" fontId="16" fillId="0" borderId="38" xfId="171" applyNumberFormat="1" applyFont="1" applyFill="1" applyBorder="1"/>
    <xf numFmtId="0" fontId="16" fillId="0" borderId="15" xfId="171" applyFont="1" applyFill="1" applyBorder="1" applyAlignment="1">
      <alignment wrapText="1"/>
    </xf>
    <xf numFmtId="0" fontId="16" fillId="0" borderId="15" xfId="171" applyFont="1" applyFill="1" applyBorder="1"/>
    <xf numFmtId="0" fontId="16" fillId="0" borderId="0" xfId="0" applyFont="1" applyFill="1"/>
    <xf numFmtId="3" fontId="41" fillId="0" borderId="0" xfId="172" applyNumberFormat="1" applyFont="1" applyFill="1"/>
    <xf numFmtId="3" fontId="16" fillId="0" borderId="11" xfId="171" applyNumberFormat="1" applyFont="1" applyFill="1" applyBorder="1"/>
    <xf numFmtId="0" fontId="16" fillId="0" borderId="0" xfId="171" applyFont="1" applyFill="1"/>
    <xf numFmtId="3" fontId="16" fillId="0" borderId="0" xfId="171" applyNumberFormat="1" applyFont="1" applyFill="1"/>
    <xf numFmtId="0" fontId="17" fillId="0" borderId="87" xfId="171" applyFont="1" applyFill="1" applyBorder="1" applyAlignment="1">
      <alignment wrapText="1"/>
    </xf>
    <xf numFmtId="3" fontId="17" fillId="0" borderId="10" xfId="171" applyNumberFormat="1" applyFont="1" applyFill="1" applyBorder="1" applyAlignment="1">
      <alignment horizontal="center"/>
    </xf>
    <xf numFmtId="0" fontId="16" fillId="0" borderId="36" xfId="171" applyFont="1" applyFill="1" applyBorder="1"/>
    <xf numFmtId="0" fontId="16" fillId="0" borderId="11" xfId="171" applyFont="1" applyFill="1" applyBorder="1" applyAlignment="1">
      <alignment wrapText="1"/>
    </xf>
    <xf numFmtId="0" fontId="16" fillId="0" borderId="11" xfId="171" applyFont="1" applyFill="1" applyBorder="1"/>
    <xf numFmtId="3" fontId="0" fillId="0" borderId="19" xfId="0" applyNumberFormat="1" applyFont="1" applyFill="1" applyBorder="1"/>
    <xf numFmtId="3" fontId="0" fillId="0" borderId="24" xfId="0" applyNumberFormat="1" applyFont="1" applyFill="1" applyBorder="1"/>
    <xf numFmtId="3" fontId="0" fillId="0" borderId="31" xfId="0" applyNumberFormat="1" applyFont="1" applyFill="1" applyBorder="1" applyAlignment="1">
      <alignment wrapText="1"/>
    </xf>
    <xf numFmtId="3" fontId="0" fillId="0" borderId="33" xfId="0" applyNumberFormat="1" applyFont="1" applyFill="1" applyBorder="1" applyAlignment="1">
      <alignment wrapText="1"/>
    </xf>
    <xf numFmtId="3" fontId="0" fillId="0" borderId="0" xfId="0" applyNumberFormat="1" applyFont="1" applyFill="1" applyAlignment="1">
      <alignment wrapText="1"/>
    </xf>
    <xf numFmtId="3" fontId="0" fillId="0" borderId="23" xfId="0" applyNumberFormat="1" applyFont="1" applyFill="1" applyBorder="1"/>
    <xf numFmtId="3" fontId="0" fillId="0" borderId="64" xfId="0" applyNumberFormat="1" applyFont="1" applyFill="1" applyBorder="1"/>
    <xf numFmtId="3" fontId="0" fillId="0" borderId="59" xfId="0" applyNumberFormat="1" applyFont="1" applyFill="1" applyBorder="1"/>
    <xf numFmtId="3" fontId="0" fillId="0" borderId="34" xfId="0" applyNumberFormat="1" applyFont="1" applyFill="1" applyBorder="1"/>
    <xf numFmtId="3" fontId="0" fillId="0" borderId="20" xfId="0" applyNumberFormat="1" applyFont="1" applyFill="1" applyBorder="1"/>
    <xf numFmtId="3" fontId="0" fillId="0" borderId="56" xfId="0" applyNumberFormat="1" applyFont="1" applyFill="1" applyBorder="1"/>
    <xf numFmtId="3" fontId="0" fillId="0" borderId="65" xfId="0" applyNumberFormat="1" applyFont="1" applyFill="1" applyBorder="1"/>
    <xf numFmtId="3" fontId="0" fillId="0" borderId="62" xfId="0" applyNumberFormat="1" applyFont="1" applyFill="1" applyBorder="1"/>
    <xf numFmtId="3" fontId="0" fillId="0" borderId="31" xfId="0" applyNumberFormat="1" applyFont="1" applyFill="1" applyBorder="1"/>
    <xf numFmtId="3" fontId="0" fillId="0" borderId="32" xfId="0" applyNumberFormat="1" applyFont="1" applyFill="1" applyBorder="1"/>
    <xf numFmtId="3" fontId="0" fillId="0" borderId="70" xfId="0" applyNumberFormat="1" applyFont="1" applyFill="1" applyBorder="1"/>
    <xf numFmtId="3" fontId="0" fillId="0" borderId="72" xfId="0" applyNumberFormat="1" applyFont="1" applyFill="1" applyBorder="1"/>
    <xf numFmtId="3" fontId="0" fillId="0" borderId="73" xfId="0" applyNumberFormat="1" applyFont="1" applyFill="1" applyBorder="1"/>
    <xf numFmtId="3" fontId="0" fillId="0" borderId="74" xfId="0" applyNumberFormat="1" applyFont="1" applyFill="1" applyBorder="1"/>
    <xf numFmtId="3" fontId="0" fillId="0" borderId="118" xfId="0" applyNumberFormat="1" applyFont="1" applyFill="1" applyBorder="1" applyAlignment="1">
      <alignment wrapText="1"/>
    </xf>
    <xf numFmtId="3" fontId="18" fillId="0" borderId="118" xfId="0" applyNumberFormat="1" applyFont="1" applyFill="1" applyBorder="1" applyAlignment="1">
      <alignment wrapText="1"/>
    </xf>
    <xf numFmtId="165" fontId="18" fillId="0" borderId="56" xfId="254" applyNumberFormat="1" applyFont="1" applyFill="1" applyBorder="1" applyAlignment="1">
      <alignment horizontal="right" wrapText="1"/>
    </xf>
    <xf numFmtId="0" fontId="38" fillId="0" borderId="0" xfId="157" applyFont="1" applyFill="1"/>
    <xf numFmtId="0" fontId="16" fillId="0" borderId="0" xfId="195" applyFont="1" applyFill="1"/>
    <xf numFmtId="0" fontId="16" fillId="0" borderId="56" xfId="195" applyFont="1" applyFill="1" applyBorder="1" applyAlignment="1">
      <alignment wrapText="1"/>
    </xf>
    <xf numFmtId="3" fontId="16" fillId="0" borderId="31" xfId="195" applyNumberFormat="1" applyFont="1" applyFill="1" applyBorder="1"/>
    <xf numFmtId="16" fontId="38" fillId="0" borderId="0" xfId="157" applyNumberFormat="1" applyFont="1" applyFill="1"/>
    <xf numFmtId="3" fontId="16" fillId="0" borderId="94" xfId="195" applyNumberFormat="1" applyFont="1" applyFill="1" applyBorder="1" applyAlignment="1">
      <alignment horizontal="center"/>
    </xf>
    <xf numFmtId="3" fontId="16" fillId="0" borderId="69" xfId="195" applyNumberFormat="1" applyFont="1" applyFill="1" applyBorder="1"/>
    <xf numFmtId="3" fontId="16" fillId="0" borderId="0" xfId="195" applyNumberFormat="1" applyFont="1" applyFill="1"/>
    <xf numFmtId="0" fontId="43" fillId="0" borderId="0" xfId="206" applyFont="1" applyFill="1"/>
    <xf numFmtId="0" fontId="43" fillId="0" borderId="0" xfId="206" applyFont="1" applyFill="1" applyAlignment="1">
      <alignment wrapText="1"/>
    </xf>
    <xf numFmtId="3" fontId="43" fillId="0" borderId="0" xfId="206" applyNumberFormat="1" applyFont="1" applyFill="1"/>
    <xf numFmtId="0" fontId="42" fillId="0" borderId="33" xfId="206" applyFont="1" applyFill="1" applyBorder="1" applyAlignment="1">
      <alignment horizontal="center" vertical="center"/>
    </xf>
    <xf numFmtId="165" fontId="43" fillId="0" borderId="0" xfId="254" applyNumberFormat="1" applyFont="1" applyFill="1"/>
    <xf numFmtId="0" fontId="43" fillId="0" borderId="0" xfId="205" applyFont="1" applyFill="1"/>
    <xf numFmtId="3" fontId="43" fillId="0" borderId="0" xfId="205" applyNumberFormat="1" applyFont="1" applyFill="1"/>
    <xf numFmtId="3" fontId="42" fillId="0" borderId="0" xfId="205" applyNumberFormat="1" applyFont="1" applyFill="1"/>
    <xf numFmtId="3" fontId="43" fillId="0" borderId="0" xfId="205" applyNumberFormat="1" applyFont="1" applyFill="1" applyAlignment="1">
      <alignment horizontal="right"/>
    </xf>
    <xf numFmtId="3" fontId="72" fillId="0" borderId="0" xfId="205" applyNumberFormat="1" applyFont="1" applyFill="1"/>
    <xf numFmtId="0" fontId="72" fillId="0" borderId="0" xfId="205" applyFont="1" applyFill="1"/>
    <xf numFmtId="3" fontId="68" fillId="0" borderId="0" xfId="205" applyNumberFormat="1" applyFont="1" applyFill="1"/>
    <xf numFmtId="3" fontId="68" fillId="0" borderId="0" xfId="205" applyNumberFormat="1" applyFont="1" applyFill="1" applyAlignment="1">
      <alignment horizontal="right"/>
    </xf>
    <xf numFmtId="0" fontId="42" fillId="0" borderId="0" xfId="205" applyFont="1" applyFill="1" applyAlignment="1">
      <alignment wrapText="1"/>
    </xf>
    <xf numFmtId="0" fontId="42" fillId="0" borderId="122" xfId="205" applyFont="1" applyFill="1" applyBorder="1" applyAlignment="1">
      <alignment horizontal="center"/>
    </xf>
    <xf numFmtId="3" fontId="42" fillId="0" borderId="123" xfId="205" applyNumberFormat="1" applyFont="1" applyFill="1" applyBorder="1" applyAlignment="1">
      <alignment horizontal="center"/>
    </xf>
    <xf numFmtId="3" fontId="42" fillId="0" borderId="30" xfId="205" applyNumberFormat="1" applyFont="1" applyFill="1" applyBorder="1" applyAlignment="1">
      <alignment horizontal="center"/>
    </xf>
    <xf numFmtId="0" fontId="71" fillId="0" borderId="0" xfId="205" applyFont="1" applyFill="1" applyAlignment="1">
      <alignment horizontal="center"/>
    </xf>
    <xf numFmtId="0" fontId="42" fillId="0" borderId="0" xfId="205" applyFont="1" applyFill="1" applyAlignment="1">
      <alignment horizontal="center"/>
    </xf>
    <xf numFmtId="0" fontId="43" fillId="0" borderId="32" xfId="205" applyFont="1" applyFill="1" applyBorder="1" applyAlignment="1">
      <alignment wrapText="1"/>
    </xf>
    <xf numFmtId="3" fontId="43" fillId="0" borderId="24" xfId="205" applyNumberFormat="1" applyFont="1" applyFill="1" applyBorder="1"/>
    <xf numFmtId="3" fontId="43" fillId="0" borderId="31" xfId="205" applyNumberFormat="1" applyFont="1" applyFill="1" applyBorder="1"/>
    <xf numFmtId="0" fontId="42" fillId="0" borderId="124" xfId="205" applyFont="1" applyFill="1" applyBorder="1" applyAlignment="1">
      <alignment wrapText="1"/>
    </xf>
    <xf numFmtId="3" fontId="42" fillId="0" borderId="125" xfId="205" applyNumberFormat="1" applyFont="1" applyFill="1" applyBorder="1"/>
    <xf numFmtId="3" fontId="42" fillId="0" borderId="126" xfId="205" applyNumberFormat="1" applyFont="1" applyFill="1" applyBorder="1"/>
    <xf numFmtId="0" fontId="71" fillId="0" borderId="0" xfId="205" applyFont="1" applyFill="1"/>
    <xf numFmtId="0" fontId="42" fillId="0" borderId="0" xfId="205" applyFont="1" applyFill="1"/>
    <xf numFmtId="0" fontId="42" fillId="0" borderId="0" xfId="205" applyFont="1" applyFill="1" applyAlignment="1">
      <alignment horizontal="left" wrapText="1"/>
    </xf>
    <xf numFmtId="0" fontId="43" fillId="0" borderId="122" xfId="205" applyFont="1" applyFill="1" applyBorder="1" applyAlignment="1">
      <alignment horizontal="left" wrapText="1"/>
    </xf>
    <xf numFmtId="3" fontId="43" fillId="0" borderId="123" xfId="205" applyNumberFormat="1" applyFont="1" applyFill="1" applyBorder="1"/>
    <xf numFmtId="3" fontId="43" fillId="0" borderId="30" xfId="205" applyNumberFormat="1" applyFont="1" applyFill="1" applyBorder="1"/>
    <xf numFmtId="0" fontId="43" fillId="0" borderId="70" xfId="205" applyFont="1" applyFill="1" applyBorder="1" applyAlignment="1">
      <alignment wrapText="1"/>
    </xf>
    <xf numFmtId="3" fontId="43" fillId="0" borderId="73" xfId="205" applyNumberFormat="1" applyFont="1" applyFill="1" applyBorder="1"/>
    <xf numFmtId="3" fontId="43" fillId="0" borderId="118" xfId="205" applyNumberFormat="1" applyFont="1" applyFill="1" applyBorder="1"/>
    <xf numFmtId="3" fontId="42" fillId="0" borderId="130" xfId="205" applyNumberFormat="1" applyFont="1" applyFill="1" applyBorder="1"/>
    <xf numFmtId="3" fontId="42" fillId="0" borderId="0" xfId="205" applyNumberFormat="1" applyFont="1" applyFill="1" applyBorder="1"/>
    <xf numFmtId="0" fontId="42" fillId="0" borderId="24" xfId="205" applyFont="1" applyFill="1" applyBorder="1" applyAlignment="1">
      <alignment wrapText="1"/>
    </xf>
    <xf numFmtId="3" fontId="42" fillId="0" borderId="24" xfId="205" applyNumberFormat="1" applyFont="1" applyFill="1" applyBorder="1"/>
    <xf numFmtId="3" fontId="43" fillId="0" borderId="0" xfId="205" applyNumberFormat="1" applyFont="1" applyFill="1" applyBorder="1"/>
    <xf numFmtId="0" fontId="44" fillId="0" borderId="0" xfId="205" applyFont="1" applyFill="1"/>
    <xf numFmtId="3" fontId="44" fillId="0" borderId="0" xfId="205" applyNumberFormat="1" applyFont="1" applyFill="1"/>
    <xf numFmtId="165" fontId="69" fillId="0" borderId="0" xfId="254" applyNumberFormat="1" applyFont="1" applyFill="1"/>
    <xf numFmtId="0" fontId="43" fillId="0" borderId="0" xfId="260" applyFont="1" applyFill="1"/>
    <xf numFmtId="0" fontId="43" fillId="0" borderId="0" xfId="260" applyFont="1" applyFill="1" applyAlignment="1">
      <alignment wrapText="1"/>
    </xf>
    <xf numFmtId="3" fontId="43" fillId="0" borderId="0" xfId="260" applyNumberFormat="1" applyFont="1" applyFill="1"/>
    <xf numFmtId="0" fontId="42" fillId="0" borderId="122" xfId="260" applyFont="1" applyFill="1" applyBorder="1"/>
    <xf numFmtId="0" fontId="42" fillId="0" borderId="123" xfId="260" applyFont="1" applyFill="1" applyBorder="1" applyAlignment="1">
      <alignment horizontal="center" wrapText="1"/>
    </xf>
    <xf numFmtId="3" fontId="42" fillId="0" borderId="30" xfId="260" applyNumberFormat="1" applyFont="1" applyFill="1" applyBorder="1" applyAlignment="1">
      <alignment horizontal="center" wrapText="1"/>
    </xf>
    <xf numFmtId="0" fontId="42" fillId="0" borderId="0" xfId="260" applyFont="1" applyFill="1"/>
    <xf numFmtId="0" fontId="43" fillId="0" borderId="32" xfId="260" applyFont="1" applyFill="1" applyBorder="1"/>
    <xf numFmtId="0" fontId="43" fillId="0" borderId="24" xfId="260" applyFont="1" applyFill="1" applyBorder="1" applyAlignment="1">
      <alignment wrapText="1"/>
    </xf>
    <xf numFmtId="3" fontId="43" fillId="0" borderId="31" xfId="260" applyNumberFormat="1" applyFont="1" applyFill="1" applyBorder="1"/>
    <xf numFmtId="0" fontId="42" fillId="0" borderId="32" xfId="260" applyFont="1" applyFill="1" applyBorder="1"/>
    <xf numFmtId="0" fontId="42" fillId="0" borderId="24" xfId="260" applyFont="1" applyFill="1" applyBorder="1" applyAlignment="1">
      <alignment wrapText="1"/>
    </xf>
    <xf numFmtId="3" fontId="42" fillId="0" borderId="31" xfId="260" applyNumberFormat="1" applyFont="1" applyFill="1" applyBorder="1"/>
    <xf numFmtId="3" fontId="43" fillId="0" borderId="31" xfId="260" applyNumberFormat="1" applyFont="1" applyFill="1" applyBorder="1" applyAlignment="1">
      <alignment horizontal="right"/>
    </xf>
    <xf numFmtId="0" fontId="42" fillId="0" borderId="125" xfId="260" applyFont="1" applyFill="1" applyBorder="1" applyAlignment="1">
      <alignment wrapText="1"/>
    </xf>
    <xf numFmtId="3" fontId="42" fillId="0" borderId="126" xfId="260" applyNumberFormat="1" applyFont="1" applyFill="1" applyBorder="1"/>
    <xf numFmtId="0" fontId="17" fillId="0" borderId="75" xfId="195" applyFont="1" applyFill="1" applyBorder="1" applyAlignment="1">
      <alignment wrapText="1"/>
    </xf>
    <xf numFmtId="0" fontId="37" fillId="0" borderId="56" xfId="195" applyFont="1" applyFill="1" applyBorder="1" applyAlignment="1">
      <alignment vertical="top" wrapText="1"/>
    </xf>
    <xf numFmtId="0" fontId="73" fillId="0" borderId="0" xfId="196" applyFont="1" applyFill="1"/>
    <xf numFmtId="3" fontId="73" fillId="0" borderId="0" xfId="196" applyNumberFormat="1" applyFont="1" applyFill="1"/>
    <xf numFmtId="3" fontId="74" fillId="0" borderId="0" xfId="196" applyNumberFormat="1" applyFont="1" applyFill="1"/>
    <xf numFmtId="0" fontId="68" fillId="0" borderId="0" xfId="196" applyFont="1" applyFill="1"/>
    <xf numFmtId="0" fontId="42" fillId="0" borderId="124" xfId="260" applyFont="1" applyFill="1" applyBorder="1"/>
    <xf numFmtId="3" fontId="43" fillId="0" borderId="31" xfId="260" applyNumberFormat="1" applyFont="1" applyFill="1" applyBorder="1" applyAlignment="1">
      <alignment horizontal="right" wrapText="1"/>
    </xf>
    <xf numFmtId="0" fontId="72" fillId="0" borderId="0" xfId="196" applyFont="1" applyFill="1"/>
    <xf numFmtId="0" fontId="72" fillId="0" borderId="0" xfId="206" applyFont="1" applyFill="1" applyAlignment="1">
      <alignment horizontal="center"/>
    </xf>
    <xf numFmtId="0" fontId="72" fillId="0" borderId="0" xfId="157" applyFont="1" applyFill="1"/>
    <xf numFmtId="3" fontId="72" fillId="0" borderId="0" xfId="196" applyNumberFormat="1" applyFont="1" applyFill="1"/>
    <xf numFmtId="0" fontId="42" fillId="0" borderId="60" xfId="206" applyFont="1" applyFill="1" applyBorder="1" applyAlignment="1">
      <alignment horizontal="center" vertical="center" wrapText="1"/>
    </xf>
    <xf numFmtId="3" fontId="42" fillId="0" borderId="33" xfId="196" applyNumberFormat="1" applyFont="1" applyFill="1" applyBorder="1" applyAlignment="1">
      <alignment horizontal="center" vertical="center" wrapText="1"/>
    </xf>
    <xf numFmtId="165" fontId="43" fillId="0" borderId="0" xfId="254" applyNumberFormat="1" applyFont="1" applyFill="1" applyBorder="1"/>
    <xf numFmtId="165" fontId="43" fillId="0" borderId="0" xfId="254" applyNumberFormat="1" applyFont="1" applyFill="1" applyAlignment="1">
      <alignment horizontal="center" vertical="center"/>
    </xf>
    <xf numFmtId="165" fontId="43" fillId="0" borderId="19" xfId="254" applyNumberFormat="1" applyFont="1" applyFill="1" applyBorder="1"/>
    <xf numFmtId="0" fontId="43" fillId="0" borderId="0" xfId="205" applyFont="1" applyFill="1" applyAlignment="1">
      <alignment horizontal="center"/>
    </xf>
    <xf numFmtId="3" fontId="46" fillId="0" borderId="47" xfId="171" applyNumberFormat="1" applyFont="1" applyFill="1" applyBorder="1" applyAlignment="1">
      <alignment horizontal="centerContinuous" wrapText="1"/>
    </xf>
    <xf numFmtId="3" fontId="46" fillId="0" borderId="48" xfId="171" applyNumberFormat="1" applyFont="1" applyFill="1" applyBorder="1" applyAlignment="1">
      <alignment horizontal="centerContinuous" wrapText="1"/>
    </xf>
    <xf numFmtId="3" fontId="47" fillId="0" borderId="49" xfId="171" applyNumberFormat="1" applyFont="1" applyFill="1" applyBorder="1"/>
    <xf numFmtId="3" fontId="47" fillId="0" borderId="50" xfId="171" applyNumberFormat="1" applyFont="1" applyFill="1" applyBorder="1"/>
    <xf numFmtId="3" fontId="47" fillId="0" borderId="58" xfId="171" applyNumberFormat="1" applyFont="1" applyFill="1" applyBorder="1"/>
    <xf numFmtId="3" fontId="16" fillId="0" borderId="83" xfId="171" applyNumberFormat="1" applyFont="1" applyFill="1" applyBorder="1"/>
    <xf numFmtId="3" fontId="47" fillId="0" borderId="43" xfId="174" applyNumberFormat="1" applyFont="1" applyFill="1" applyBorder="1"/>
    <xf numFmtId="3" fontId="47" fillId="0" borderId="11" xfId="174" applyNumberFormat="1" applyFont="1" applyFill="1" applyBorder="1" applyAlignment="1">
      <alignment horizontal="center"/>
    </xf>
    <xf numFmtId="3" fontId="47" fillId="0" borderId="11" xfId="174" applyNumberFormat="1" applyFont="1" applyFill="1" applyBorder="1" applyAlignment="1">
      <alignment horizontal="right"/>
    </xf>
    <xf numFmtId="3" fontId="42" fillId="0" borderId="16" xfId="172" applyNumberFormat="1" applyFont="1" applyFill="1" applyBorder="1" applyAlignment="1">
      <alignment wrapText="1"/>
    </xf>
    <xf numFmtId="3" fontId="42" fillId="0" borderId="104" xfId="172" applyNumberFormat="1" applyFont="1" applyFill="1" applyBorder="1" applyAlignment="1">
      <alignment wrapText="1"/>
    </xf>
    <xf numFmtId="3" fontId="37" fillId="0" borderId="21" xfId="172" applyNumberFormat="1" applyFont="1" applyFill="1" applyBorder="1" applyAlignment="1">
      <alignment wrapText="1"/>
    </xf>
    <xf numFmtId="3" fontId="37" fillId="0" borderId="20" xfId="172" applyNumberFormat="1" applyFont="1" applyFill="1" applyBorder="1"/>
    <xf numFmtId="3" fontId="37" fillId="0" borderId="21" xfId="172" applyNumberFormat="1" applyFont="1" applyFill="1" applyBorder="1"/>
    <xf numFmtId="3" fontId="43" fillId="0" borderId="81" xfId="172" applyNumberFormat="1" applyFont="1" applyFill="1" applyBorder="1" applyAlignment="1">
      <alignment wrapText="1"/>
    </xf>
    <xf numFmtId="3" fontId="43" fillId="0" borderId="72" xfId="172" applyNumberFormat="1" applyFont="1" applyFill="1" applyBorder="1" applyAlignment="1">
      <alignment wrapText="1"/>
    </xf>
    <xf numFmtId="3" fontId="43" fillId="0" borderId="39" xfId="172" applyNumberFormat="1" applyFont="1" applyFill="1" applyBorder="1" applyAlignment="1">
      <alignment wrapText="1"/>
    </xf>
    <xf numFmtId="3" fontId="37" fillId="0" borderId="22" xfId="172" applyNumberFormat="1" applyFont="1" applyFill="1" applyBorder="1" applyAlignment="1">
      <alignment wrapText="1"/>
    </xf>
    <xf numFmtId="3" fontId="47" fillId="0" borderId="20" xfId="174" applyNumberFormat="1" applyFont="1" applyFill="1" applyBorder="1"/>
    <xf numFmtId="3" fontId="16" fillId="0" borderId="81" xfId="174" applyNumberFormat="1" applyFont="1" applyFill="1" applyBorder="1"/>
    <xf numFmtId="3" fontId="16" fillId="0" borderId="20" xfId="174" applyNumberFormat="1" applyFont="1" applyFill="1" applyBorder="1"/>
    <xf numFmtId="3" fontId="49" fillId="0" borderId="20" xfId="174" applyNumberFormat="1" applyFont="1" applyFill="1" applyBorder="1"/>
    <xf numFmtId="3" fontId="18" fillId="0" borderId="20" xfId="174" applyNumberFormat="1" applyFont="1" applyFill="1" applyBorder="1"/>
    <xf numFmtId="3" fontId="16" fillId="0" borderId="19" xfId="174" applyNumberFormat="1" applyFont="1" applyFill="1" applyBorder="1"/>
    <xf numFmtId="3" fontId="17" fillId="0" borderId="19" xfId="174" applyNumberFormat="1" applyFont="1" applyFill="1" applyBorder="1"/>
    <xf numFmtId="3" fontId="46" fillId="0" borderId="81" xfId="174" applyNumberFormat="1" applyFont="1" applyFill="1" applyBorder="1"/>
    <xf numFmtId="3" fontId="46" fillId="0" borderId="40" xfId="174" applyNumberFormat="1" applyFont="1" applyFill="1" applyBorder="1"/>
    <xf numFmtId="3" fontId="46" fillId="0" borderId="82" xfId="174" applyNumberFormat="1" applyFont="1" applyFill="1" applyBorder="1"/>
    <xf numFmtId="3" fontId="42" fillId="0" borderId="97" xfId="172" applyNumberFormat="1" applyFont="1" applyFill="1" applyBorder="1"/>
    <xf numFmtId="3" fontId="42" fillId="0" borderId="77" xfId="172" applyNumberFormat="1" applyFont="1" applyFill="1" applyBorder="1"/>
    <xf numFmtId="3" fontId="42" fillId="0" borderId="73" xfId="172" applyNumberFormat="1" applyFont="1" applyFill="1" applyBorder="1"/>
    <xf numFmtId="3" fontId="42" fillId="0" borderId="39" xfId="172" applyNumberFormat="1" applyFont="1" applyFill="1" applyBorder="1"/>
    <xf numFmtId="3" fontId="42" fillId="0" borderId="81" xfId="172" applyNumberFormat="1" applyFont="1" applyFill="1" applyBorder="1"/>
    <xf numFmtId="3" fontId="43" fillId="0" borderId="78" xfId="172" applyNumberFormat="1" applyFont="1" applyFill="1" applyBorder="1"/>
    <xf numFmtId="3" fontId="37" fillId="0" borderId="22" xfId="172" applyNumberFormat="1" applyFont="1" applyFill="1" applyBorder="1"/>
    <xf numFmtId="3" fontId="17" fillId="0" borderId="15" xfId="171" applyNumberFormat="1" applyFont="1" applyFill="1" applyBorder="1"/>
    <xf numFmtId="3" fontId="37" fillId="0" borderId="34" xfId="172" applyNumberFormat="1" applyFont="1" applyFill="1" applyBorder="1" applyAlignment="1">
      <alignment wrapText="1"/>
    </xf>
    <xf numFmtId="3" fontId="72" fillId="0" borderId="0" xfId="205" applyNumberFormat="1" applyFont="1" applyFill="1" applyAlignment="1">
      <alignment horizontal="right"/>
    </xf>
    <xf numFmtId="3" fontId="72" fillId="0" borderId="0" xfId="205" applyNumberFormat="1" applyFont="1" applyFill="1" applyAlignment="1">
      <alignment horizontal="left"/>
    </xf>
    <xf numFmtId="3" fontId="71" fillId="0" borderId="0" xfId="205" applyNumberFormat="1" applyFont="1" applyFill="1"/>
    <xf numFmtId="0" fontId="18" fillId="0" borderId="19" xfId="173" applyFont="1" applyFill="1" applyBorder="1"/>
    <xf numFmtId="0" fontId="18" fillId="0" borderId="0" xfId="173" applyFont="1" applyFill="1"/>
    <xf numFmtId="3" fontId="43" fillId="0" borderId="94" xfId="195" applyNumberFormat="1" applyFont="1" applyFill="1" applyBorder="1"/>
    <xf numFmtId="0" fontId="17" fillId="0" borderId="59" xfId="195" applyFont="1" applyFill="1" applyBorder="1" applyAlignment="1">
      <alignment wrapText="1"/>
    </xf>
    <xf numFmtId="0" fontId="42" fillId="0" borderId="59" xfId="196" applyFont="1" applyFill="1" applyBorder="1" applyAlignment="1">
      <alignment wrapText="1"/>
    </xf>
    <xf numFmtId="0" fontId="43" fillId="0" borderId="34" xfId="0" applyFont="1" applyFill="1" applyBorder="1" applyAlignment="1">
      <alignment wrapText="1"/>
    </xf>
    <xf numFmtId="3" fontId="42" fillId="0" borderId="94" xfId="260" applyNumberFormat="1" applyFont="1" applyFill="1" applyBorder="1"/>
    <xf numFmtId="0" fontId="42" fillId="0" borderId="34" xfId="260" applyFont="1" applyFill="1" applyBorder="1" applyAlignment="1">
      <alignment wrapText="1"/>
    </xf>
    <xf numFmtId="3" fontId="18" fillId="0" borderId="31" xfId="0" applyNumberFormat="1" applyFont="1" applyFill="1" applyBorder="1" applyAlignment="1">
      <alignment wrapText="1"/>
    </xf>
    <xf numFmtId="3" fontId="76" fillId="0" borderId="0" xfId="195" applyNumberFormat="1" applyFont="1" applyFill="1"/>
    <xf numFmtId="3" fontId="17" fillId="0" borderId="10" xfId="173" applyNumberFormat="1" applyFont="1" applyFill="1" applyBorder="1" applyAlignment="1">
      <alignment horizontal="center" wrapText="1"/>
    </xf>
    <xf numFmtId="0" fontId="43" fillId="0" borderId="31" xfId="196" applyFont="1" applyFill="1" applyBorder="1" applyAlignment="1">
      <alignment vertical="top" wrapText="1"/>
    </xf>
    <xf numFmtId="0" fontId="16" fillId="0" borderId="0" xfId="195" applyFont="1" applyFill="1" applyAlignment="1">
      <alignment horizontal="left"/>
    </xf>
    <xf numFmtId="0" fontId="17" fillId="0" borderId="10" xfId="173" applyFont="1" applyFill="1" applyBorder="1" applyAlignment="1">
      <alignment horizontal="center"/>
    </xf>
    <xf numFmtId="3" fontId="17" fillId="0" borderId="22" xfId="173" applyNumberFormat="1" applyFont="1" applyFill="1" applyBorder="1" applyAlignment="1">
      <alignment wrapText="1"/>
    </xf>
    <xf numFmtId="3" fontId="16" fillId="0" borderId="25" xfId="173" applyNumberFormat="1" applyFont="1" applyFill="1" applyBorder="1"/>
    <xf numFmtId="0" fontId="17" fillId="0" borderId="0" xfId="173" applyFont="1" applyFill="1"/>
    <xf numFmtId="3" fontId="17" fillId="0" borderId="16" xfId="173" applyNumberFormat="1" applyFont="1" applyFill="1" applyBorder="1" applyAlignment="1">
      <alignment wrapText="1"/>
    </xf>
    <xf numFmtId="3" fontId="17" fillId="0" borderId="18" xfId="173" applyNumberFormat="1" applyFont="1" applyFill="1" applyBorder="1"/>
    <xf numFmtId="3" fontId="18" fillId="0" borderId="0" xfId="173" applyNumberFormat="1" applyFont="1" applyFill="1"/>
    <xf numFmtId="3" fontId="18" fillId="0" borderId="78" xfId="173" applyNumberFormat="1" applyFont="1" applyFill="1" applyBorder="1"/>
    <xf numFmtId="3" fontId="49" fillId="0" borderId="10" xfId="173" applyNumberFormat="1" applyFont="1" applyFill="1" applyBorder="1" applyAlignment="1">
      <alignment wrapText="1"/>
    </xf>
    <xf numFmtId="3" fontId="49" fillId="0" borderId="10" xfId="173" applyNumberFormat="1" applyFont="1" applyFill="1" applyBorder="1"/>
    <xf numFmtId="0" fontId="49" fillId="0" borderId="0" xfId="173" applyFont="1" applyFill="1"/>
    <xf numFmtId="3" fontId="49" fillId="0" borderId="0" xfId="173" applyNumberFormat="1" applyFont="1" applyFill="1" applyBorder="1" applyAlignment="1">
      <alignment wrapText="1"/>
    </xf>
    <xf numFmtId="3" fontId="49" fillId="0" borderId="0" xfId="173" applyNumberFormat="1" applyFont="1" applyFill="1" applyBorder="1"/>
    <xf numFmtId="3" fontId="16" fillId="0" borderId="18" xfId="173" applyNumberFormat="1" applyFont="1" applyFill="1" applyBorder="1"/>
    <xf numFmtId="3" fontId="18" fillId="0" borderId="29" xfId="173" applyNumberFormat="1" applyFont="1" applyFill="1" applyBorder="1"/>
    <xf numFmtId="3" fontId="16" fillId="0" borderId="103" xfId="173" applyNumberFormat="1" applyFont="1" applyFill="1" applyBorder="1"/>
    <xf numFmtId="3" fontId="18" fillId="0" borderId="48" xfId="173" applyNumberFormat="1" applyFont="1" applyFill="1" applyBorder="1"/>
    <xf numFmtId="3" fontId="16" fillId="0" borderId="29" xfId="173" applyNumberFormat="1" applyFont="1" applyFill="1" applyBorder="1"/>
    <xf numFmtId="3" fontId="17" fillId="0" borderId="10" xfId="173" applyNumberFormat="1" applyFont="1" applyFill="1" applyBorder="1" applyAlignment="1">
      <alignment wrapText="1"/>
    </xf>
    <xf numFmtId="3" fontId="17" fillId="0" borderId="0" xfId="173" applyNumberFormat="1" applyFont="1" applyFill="1" applyBorder="1" applyAlignment="1">
      <alignment wrapText="1"/>
    </xf>
    <xf numFmtId="3" fontId="72" fillId="0" borderId="0" xfId="205" applyNumberFormat="1" applyFont="1" applyFill="1" applyAlignment="1">
      <alignment horizontal="center"/>
    </xf>
    <xf numFmtId="3" fontId="18" fillId="0" borderId="0" xfId="171" applyNumberFormat="1" applyFont="1" applyFill="1"/>
    <xf numFmtId="0" fontId="37" fillId="0" borderId="20" xfId="0" applyFont="1" applyFill="1" applyBorder="1" applyAlignment="1">
      <alignment wrapText="1"/>
    </xf>
    <xf numFmtId="3" fontId="80" fillId="0" borderId="0" xfId="205" applyNumberFormat="1" applyFont="1" applyFill="1"/>
    <xf numFmtId="0" fontId="0" fillId="0" borderId="0" xfId="195" applyFont="1" applyFill="1"/>
    <xf numFmtId="3" fontId="43" fillId="0" borderId="0" xfId="172" applyNumberFormat="1" applyFont="1"/>
    <xf numFmtId="0" fontId="0" fillId="0" borderId="56" xfId="195" applyFont="1" applyFill="1" applyBorder="1" applyAlignment="1">
      <alignment wrapText="1"/>
    </xf>
    <xf numFmtId="3" fontId="37" fillId="0" borderId="65" xfId="172" applyNumberFormat="1" applyFont="1" applyFill="1" applyBorder="1" applyAlignment="1">
      <alignment wrapText="1"/>
    </xf>
    <xf numFmtId="3" fontId="84" fillId="0" borderId="38" xfId="171" applyNumberFormat="1" applyFont="1" applyFill="1" applyBorder="1"/>
    <xf numFmtId="0" fontId="16" fillId="0" borderId="0" xfId="276"/>
    <xf numFmtId="0" fontId="16" fillId="0" borderId="0" xfId="276" applyAlignment="1">
      <alignment wrapText="1"/>
    </xf>
    <xf numFmtId="0" fontId="49" fillId="0" borderId="60" xfId="276" applyFont="1" applyBorder="1" applyAlignment="1">
      <alignment wrapText="1"/>
    </xf>
    <xf numFmtId="3" fontId="42" fillId="0" borderId="33" xfId="257" applyNumberFormat="1" applyFont="1" applyBorder="1" applyAlignment="1">
      <alignment horizontal="center" wrapText="1"/>
    </xf>
    <xf numFmtId="0" fontId="16" fillId="0" borderId="101" xfId="276" applyBorder="1" applyAlignment="1">
      <alignment wrapText="1"/>
    </xf>
    <xf numFmtId="3" fontId="16" fillId="0" borderId="56" xfId="276" applyNumberFormat="1" applyBorder="1"/>
    <xf numFmtId="0" fontId="16" fillId="0" borderId="56" xfId="276" applyBorder="1" applyAlignment="1">
      <alignment horizontal="left" wrapText="1"/>
    </xf>
    <xf numFmtId="3" fontId="16" fillId="0" borderId="90" xfId="276" applyNumberFormat="1" applyBorder="1"/>
    <xf numFmtId="0" fontId="49" fillId="0" borderId="33" xfId="276" applyFont="1" applyBorder="1" applyAlignment="1">
      <alignment wrapText="1"/>
    </xf>
    <xf numFmtId="3" fontId="49" fillId="0" borderId="67" xfId="276" applyNumberFormat="1" applyFont="1" applyBorder="1"/>
    <xf numFmtId="0" fontId="87" fillId="0" borderId="0" xfId="276" applyFont="1" applyAlignment="1">
      <alignment wrapText="1"/>
    </xf>
    <xf numFmtId="0" fontId="87" fillId="0" borderId="0" xfId="276" applyFont="1"/>
    <xf numFmtId="0" fontId="16" fillId="0" borderId="75" xfId="276" applyBorder="1" applyAlignment="1">
      <alignment horizontal="left" wrapText="1"/>
    </xf>
    <xf numFmtId="3" fontId="46" fillId="0" borderId="31" xfId="197" applyNumberFormat="1" applyFont="1" applyFill="1" applyBorder="1"/>
    <xf numFmtId="3" fontId="18" fillId="0" borderId="31" xfId="197" applyNumberFormat="1" applyFont="1" applyFill="1" applyBorder="1"/>
    <xf numFmtId="3" fontId="46" fillId="0" borderId="126" xfId="197" applyNumberFormat="1" applyFont="1" applyFill="1" applyBorder="1"/>
    <xf numFmtId="3" fontId="46" fillId="0" borderId="31" xfId="197" applyNumberFormat="1" applyFont="1" applyFill="1" applyBorder="1" applyAlignment="1">
      <alignment horizontal="right"/>
    </xf>
    <xf numFmtId="0" fontId="70" fillId="0" borderId="0" xfId="276" applyFont="1" applyAlignment="1">
      <alignment horizontal="center" wrapText="1"/>
    </xf>
    <xf numFmtId="0" fontId="42" fillId="0" borderId="128" xfId="260" applyFont="1" applyFill="1" applyBorder="1"/>
    <xf numFmtId="0" fontId="43" fillId="0" borderId="128" xfId="260" applyFont="1" applyFill="1" applyBorder="1"/>
    <xf numFmtId="3" fontId="17" fillId="0" borderId="35" xfId="174" applyNumberFormat="1" applyFont="1" applyFill="1" applyBorder="1" applyAlignment="1">
      <alignment horizontal="center"/>
    </xf>
    <xf numFmtId="3" fontId="17" fillId="0" borderId="35" xfId="174" applyNumberFormat="1" applyFont="1" applyFill="1" applyBorder="1" applyAlignment="1">
      <alignment horizontal="center" wrapText="1"/>
    </xf>
    <xf numFmtId="3" fontId="17" fillId="0" borderId="10" xfId="174" applyNumberFormat="1" applyFont="1" applyFill="1" applyBorder="1" applyAlignment="1">
      <alignment horizontal="center" wrapText="1"/>
    </xf>
    <xf numFmtId="3" fontId="17" fillId="0" borderId="10" xfId="174" applyNumberFormat="1" applyFont="1" applyFill="1" applyBorder="1" applyAlignment="1">
      <alignment horizontal="center"/>
    </xf>
    <xf numFmtId="3" fontId="17" fillId="0" borderId="0" xfId="0" applyNumberFormat="1" applyFont="1" applyFill="1" applyAlignment="1">
      <alignment horizontal="center"/>
    </xf>
    <xf numFmtId="0" fontId="16" fillId="0" borderId="0" xfId="196" applyFill="1"/>
    <xf numFmtId="0" fontId="70" fillId="0" borderId="0" xfId="196" applyFont="1" applyFill="1" applyAlignment="1">
      <alignment horizontal="center" vertical="center"/>
    </xf>
    <xf numFmtId="0" fontId="16" fillId="0" borderId="0" xfId="196" applyFill="1" applyAlignment="1">
      <alignment vertical="center"/>
    </xf>
    <xf numFmtId="0" fontId="17" fillId="0" borderId="24" xfId="196" applyFont="1" applyFill="1" applyBorder="1" applyAlignment="1">
      <alignment horizontal="center" vertical="center" wrapText="1"/>
    </xf>
    <xf numFmtId="0" fontId="0" fillId="0" borderId="0" xfId="196" applyFont="1" applyFill="1" applyAlignment="1">
      <alignment vertical="center"/>
    </xf>
    <xf numFmtId="0" fontId="16" fillId="0" borderId="24" xfId="196" applyFill="1" applyBorder="1" applyAlignment="1">
      <alignment vertical="center"/>
    </xf>
    <xf numFmtId="0" fontId="16" fillId="0" borderId="24" xfId="196" applyFill="1" applyBorder="1" applyAlignment="1">
      <alignment vertical="center" wrapText="1"/>
    </xf>
    <xf numFmtId="0" fontId="88" fillId="0" borderId="24" xfId="278" applyFont="1" applyFill="1" applyBorder="1" applyAlignment="1">
      <alignment horizontal="right" vertical="center" wrapText="1"/>
    </xf>
    <xf numFmtId="0" fontId="16" fillId="0" borderId="24" xfId="196" applyFill="1" applyBorder="1" applyAlignment="1">
      <alignment horizontal="center" vertical="center"/>
    </xf>
    <xf numFmtId="3" fontId="16" fillId="0" borderId="24" xfId="196" applyNumberFormat="1" applyFill="1" applyBorder="1" applyAlignment="1">
      <alignment vertical="center"/>
    </xf>
    <xf numFmtId="3" fontId="16" fillId="0" borderId="24" xfId="196" applyNumberFormat="1" applyFill="1" applyBorder="1" applyAlignment="1">
      <alignment vertical="center" wrapText="1"/>
    </xf>
    <xf numFmtId="3" fontId="16" fillId="0" borderId="24" xfId="196" applyNumberFormat="1" applyFill="1" applyBorder="1" applyAlignment="1">
      <alignment horizontal="center" vertical="center"/>
    </xf>
    <xf numFmtId="3" fontId="16" fillId="0" borderId="0" xfId="196" applyNumberFormat="1" applyFill="1" applyAlignment="1">
      <alignment vertical="center"/>
    </xf>
    <xf numFmtId="3" fontId="16" fillId="0" borderId="24" xfId="196" applyNumberFormat="1" applyFill="1" applyBorder="1" applyAlignment="1">
      <alignment horizontal="center" vertical="center" wrapText="1"/>
    </xf>
    <xf numFmtId="166" fontId="16" fillId="0" borderId="24" xfId="196" applyNumberFormat="1" applyFill="1" applyBorder="1" applyAlignment="1">
      <alignment horizontal="center" vertical="center"/>
    </xf>
    <xf numFmtId="3" fontId="43" fillId="0" borderId="24" xfId="196" applyNumberFormat="1" applyFont="1" applyFill="1" applyBorder="1" applyAlignment="1">
      <alignment horizontal="right" vertical="center" wrapText="1"/>
    </xf>
    <xf numFmtId="16" fontId="16" fillId="0" borderId="24" xfId="196" quotePrefix="1" applyNumberFormat="1" applyFill="1" applyBorder="1" applyAlignment="1">
      <alignment horizontal="center" vertical="center"/>
    </xf>
    <xf numFmtId="16" fontId="16" fillId="0" borderId="0" xfId="196" applyNumberFormat="1" applyFill="1" applyAlignment="1">
      <alignment vertical="center"/>
    </xf>
    <xf numFmtId="3" fontId="16" fillId="0" borderId="24" xfId="196" applyNumberFormat="1" applyFill="1" applyBorder="1" applyAlignment="1">
      <alignment horizontal="right" vertical="center" wrapText="1"/>
    </xf>
    <xf numFmtId="3" fontId="16" fillId="0" borderId="24" xfId="196" quotePrefix="1" applyNumberFormat="1" applyFill="1" applyBorder="1" applyAlignment="1">
      <alignment horizontal="center" vertical="center"/>
    </xf>
    <xf numFmtId="4" fontId="16" fillId="0" borderId="24" xfId="196" applyNumberFormat="1" applyFill="1" applyBorder="1" applyAlignment="1">
      <alignment horizontal="center" vertical="center"/>
    </xf>
    <xf numFmtId="3" fontId="16" fillId="0" borderId="24" xfId="196" applyNumberFormat="1" applyFill="1" applyBorder="1" applyAlignment="1">
      <alignment horizontal="right" vertical="center"/>
    </xf>
    <xf numFmtId="0" fontId="16" fillId="0" borderId="0" xfId="196" applyFill="1" applyAlignment="1">
      <alignment vertical="center" wrapText="1"/>
    </xf>
    <xf numFmtId="3" fontId="16" fillId="0" borderId="0" xfId="196" applyNumberFormat="1" applyFill="1" applyAlignment="1">
      <alignment horizontal="center" vertical="center"/>
    </xf>
    <xf numFmtId="0" fontId="17" fillId="0" borderId="24" xfId="196" applyFont="1" applyFill="1" applyBorder="1" applyAlignment="1">
      <alignment vertical="center"/>
    </xf>
    <xf numFmtId="0" fontId="17" fillId="0" borderId="24" xfId="196" applyFont="1" applyFill="1" applyBorder="1" applyAlignment="1">
      <alignment vertical="center" wrapText="1"/>
    </xf>
    <xf numFmtId="3" fontId="17" fillId="0" borderId="24" xfId="196" applyNumberFormat="1" applyFont="1" applyFill="1" applyBorder="1" applyAlignment="1">
      <alignment vertical="center"/>
    </xf>
    <xf numFmtId="0" fontId="17" fillId="0" borderId="0" xfId="196" applyFont="1" applyFill="1" applyAlignment="1">
      <alignment vertical="center"/>
    </xf>
    <xf numFmtId="0" fontId="17" fillId="0" borderId="0" xfId="196" applyFont="1" applyFill="1" applyAlignment="1">
      <alignment vertical="center" wrapText="1"/>
    </xf>
    <xf numFmtId="3" fontId="17" fillId="0" borderId="0" xfId="196" applyNumberFormat="1" applyFont="1" applyFill="1" applyAlignment="1">
      <alignment vertical="center"/>
    </xf>
    <xf numFmtId="0" fontId="16" fillId="0" borderId="0" xfId="196" applyFill="1" applyAlignment="1">
      <alignment wrapText="1"/>
    </xf>
    <xf numFmtId="0" fontId="17" fillId="0" borderId="0" xfId="196" applyFont="1" applyFill="1" applyAlignment="1">
      <alignment horizontal="center" vertical="center" wrapText="1"/>
    </xf>
    <xf numFmtId="0" fontId="16" fillId="0" borderId="24" xfId="196" applyFill="1" applyBorder="1" applyAlignment="1">
      <alignment horizontal="left" vertical="center" wrapText="1"/>
    </xf>
    <xf numFmtId="3" fontId="88" fillId="0" borderId="24" xfId="196" applyNumberFormat="1" applyFont="1" applyFill="1" applyBorder="1" applyAlignment="1">
      <alignment vertical="center"/>
    </xf>
    <xf numFmtId="0" fontId="88" fillId="0" borderId="24" xfId="196" applyFont="1" applyFill="1" applyBorder="1" applyAlignment="1">
      <alignment vertical="center" wrapText="1"/>
    </xf>
    <xf numFmtId="3" fontId="16" fillId="0" borderId="0" xfId="196" applyNumberFormat="1" applyFill="1"/>
    <xf numFmtId="0" fontId="17" fillId="0" borderId="24" xfId="196" applyFont="1" applyFill="1" applyBorder="1"/>
    <xf numFmtId="3" fontId="17" fillId="0" borderId="24" xfId="196" applyNumberFormat="1" applyFont="1" applyFill="1" applyBorder="1"/>
    <xf numFmtId="3" fontId="17" fillId="0" borderId="0" xfId="196" applyNumberFormat="1" applyFont="1" applyFill="1"/>
    <xf numFmtId="0" fontId="17" fillId="0" borderId="0" xfId="196" applyFont="1" applyFill="1"/>
    <xf numFmtId="0" fontId="91" fillId="0" borderId="0" xfId="278" applyFont="1" applyFill="1"/>
    <xf numFmtId="0" fontId="16" fillId="0" borderId="24" xfId="196" applyFill="1" applyBorder="1" applyAlignment="1">
      <alignment horizontal="left" wrapText="1"/>
    </xf>
    <xf numFmtId="0" fontId="16" fillId="0" borderId="0" xfId="196" applyFill="1" applyAlignment="1">
      <alignment horizontal="left" vertical="center" wrapText="1"/>
    </xf>
    <xf numFmtId="3" fontId="77" fillId="0" borderId="0" xfId="274" applyNumberFormat="1" applyFont="1" applyFill="1" applyAlignment="1">
      <alignment horizontal="right"/>
    </xf>
    <xf numFmtId="3" fontId="77" fillId="0" borderId="0" xfId="274" applyNumberFormat="1" applyFont="1" applyFill="1"/>
    <xf numFmtId="3" fontId="63" fillId="0" borderId="60" xfId="200" applyNumberFormat="1" applyFont="1" applyFill="1" applyBorder="1" applyAlignment="1">
      <alignment horizontal="center" vertical="center" wrapText="1"/>
    </xf>
    <xf numFmtId="3" fontId="63" fillId="0" borderId="114" xfId="200" applyNumberFormat="1" applyFont="1" applyFill="1" applyBorder="1" applyAlignment="1">
      <alignment horizontal="center" vertical="center" wrapText="1"/>
    </xf>
    <xf numFmtId="3" fontId="63" fillId="0" borderId="88" xfId="200" applyNumberFormat="1" applyFont="1" applyFill="1" applyBorder="1" applyAlignment="1">
      <alignment horizontal="center" vertical="center" wrapText="1"/>
    </xf>
    <xf numFmtId="3" fontId="63" fillId="0" borderId="41" xfId="200" applyNumberFormat="1" applyFont="1" applyFill="1" applyBorder="1" applyAlignment="1">
      <alignment horizontal="center" vertical="center" wrapText="1"/>
    </xf>
    <xf numFmtId="3" fontId="61" fillId="0" borderId="41" xfId="200" applyNumberFormat="1" applyFont="1" applyFill="1" applyBorder="1" applyAlignment="1">
      <alignment horizontal="center" vertical="center" wrapText="1"/>
    </xf>
    <xf numFmtId="3" fontId="64" fillId="0" borderId="41" xfId="200" applyNumberFormat="1" applyFont="1" applyFill="1" applyBorder="1" applyAlignment="1">
      <alignment horizontal="center" vertical="center" wrapText="1"/>
    </xf>
    <xf numFmtId="3" fontId="63" fillId="0" borderId="40" xfId="200" applyNumberFormat="1" applyFont="1" applyFill="1" applyBorder="1" applyAlignment="1">
      <alignment horizontal="center" vertical="center" wrapText="1"/>
    </xf>
    <xf numFmtId="3" fontId="47" fillId="0" borderId="10" xfId="200" applyNumberFormat="1" applyFont="1" applyFill="1" applyBorder="1" applyAlignment="1">
      <alignment horizontal="right"/>
    </xf>
    <xf numFmtId="3" fontId="62" fillId="0" borderId="14" xfId="199" applyNumberFormat="1" applyFont="1" applyFill="1" applyBorder="1" applyAlignment="1">
      <alignment horizontal="center" wrapText="1"/>
    </xf>
    <xf numFmtId="3" fontId="61" fillId="0" borderId="41" xfId="200" applyNumberFormat="1" applyFont="1" applyFill="1" applyBorder="1" applyAlignment="1">
      <alignment horizontal="center"/>
    </xf>
    <xf numFmtId="3" fontId="61" fillId="0" borderId="10" xfId="200" applyNumberFormat="1" applyFont="1" applyFill="1" applyBorder="1" applyAlignment="1">
      <alignment horizontal="center"/>
    </xf>
    <xf numFmtId="3" fontId="47" fillId="0" borderId="36" xfId="200" applyNumberFormat="1" applyFont="1" applyFill="1" applyBorder="1" applyAlignment="1">
      <alignment horizontal="right"/>
    </xf>
    <xf numFmtId="3" fontId="58" fillId="0" borderId="21" xfId="199" applyNumberFormat="1" applyFill="1" applyBorder="1" applyAlignment="1">
      <alignment wrapText="1"/>
    </xf>
    <xf numFmtId="3" fontId="58" fillId="0" borderId="39" xfId="199" applyNumberFormat="1" applyFill="1" applyBorder="1" applyAlignment="1">
      <alignment wrapText="1"/>
    </xf>
    <xf numFmtId="3" fontId="55" fillId="0" borderId="36" xfId="200" applyNumberFormat="1" applyFont="1" applyFill="1" applyBorder="1" applyAlignment="1">
      <alignment horizontal="right"/>
    </xf>
    <xf numFmtId="3" fontId="18" fillId="0" borderId="39" xfId="199" applyNumberFormat="1" applyFont="1" applyFill="1" applyBorder="1" applyAlignment="1">
      <alignment wrapText="1"/>
    </xf>
    <xf numFmtId="3" fontId="60" fillId="0" borderId="39" xfId="199" applyNumberFormat="1" applyFont="1" applyFill="1" applyBorder="1" applyAlignment="1">
      <alignment wrapText="1"/>
    </xf>
    <xf numFmtId="3" fontId="78" fillId="0" borderId="0" xfId="274" applyNumberFormat="1" applyFont="1" applyFill="1"/>
    <xf numFmtId="3" fontId="16" fillId="0" borderId="39" xfId="199" applyNumberFormat="1" applyFont="1" applyFill="1" applyBorder="1" applyAlignment="1">
      <alignment wrapText="1"/>
    </xf>
    <xf numFmtId="0" fontId="58" fillId="0" borderId="39" xfId="199" applyFill="1" applyBorder="1" applyAlignment="1">
      <alignment wrapText="1"/>
    </xf>
    <xf numFmtId="3" fontId="59" fillId="0" borderId="14" xfId="199" applyNumberFormat="1" applyFont="1" applyFill="1" applyBorder="1" applyAlignment="1">
      <alignment wrapText="1"/>
    </xf>
    <xf numFmtId="3" fontId="58" fillId="0" borderId="37" xfId="199" applyNumberFormat="1" applyFill="1" applyBorder="1" applyAlignment="1">
      <alignment wrapText="1"/>
    </xf>
    <xf numFmtId="3" fontId="47" fillId="0" borderId="11" xfId="200" applyNumberFormat="1" applyFont="1" applyFill="1" applyBorder="1" applyAlignment="1">
      <alignment horizontal="right"/>
    </xf>
    <xf numFmtId="3" fontId="55" fillId="0" borderId="11" xfId="200" applyNumberFormat="1" applyFont="1" applyFill="1" applyBorder="1" applyAlignment="1">
      <alignment horizontal="right"/>
    </xf>
    <xf numFmtId="3" fontId="18" fillId="0" borderId="21" xfId="199" applyNumberFormat="1" applyFont="1" applyFill="1" applyBorder="1" applyAlignment="1">
      <alignment wrapText="1"/>
    </xf>
    <xf numFmtId="3" fontId="60" fillId="0" borderId="21" xfId="199" applyNumberFormat="1" applyFont="1" applyFill="1" applyBorder="1" applyAlignment="1">
      <alignment wrapText="1"/>
    </xf>
    <xf numFmtId="3" fontId="16" fillId="0" borderId="21" xfId="199" applyNumberFormat="1" applyFont="1" applyFill="1" applyBorder="1" applyAlignment="1">
      <alignment wrapText="1"/>
    </xf>
    <xf numFmtId="3" fontId="55" fillId="0" borderId="83" xfId="200" applyNumberFormat="1" applyFont="1" applyFill="1" applyBorder="1" applyAlignment="1">
      <alignment horizontal="right"/>
    </xf>
    <xf numFmtId="3" fontId="16" fillId="0" borderId="11" xfId="199" applyNumberFormat="1" applyFont="1" applyFill="1" applyBorder="1" applyAlignment="1">
      <alignment wrapText="1"/>
    </xf>
    <xf numFmtId="3" fontId="58" fillId="0" borderId="43" xfId="199" applyNumberFormat="1" applyFill="1" applyBorder="1" applyAlignment="1">
      <alignment wrapText="1"/>
    </xf>
    <xf numFmtId="3" fontId="58" fillId="0" borderId="38" xfId="199" applyNumberFormat="1" applyFill="1" applyBorder="1" applyAlignment="1">
      <alignment wrapText="1"/>
    </xf>
    <xf numFmtId="3" fontId="60" fillId="0" borderId="38" xfId="199" applyNumberFormat="1" applyFont="1" applyFill="1" applyBorder="1" applyAlignment="1">
      <alignment wrapText="1"/>
    </xf>
    <xf numFmtId="3" fontId="16" fillId="0" borderId="38" xfId="199" applyNumberFormat="1" applyFont="1" applyFill="1" applyBorder="1" applyAlignment="1">
      <alignment wrapText="1"/>
    </xf>
    <xf numFmtId="3" fontId="18" fillId="0" borderId="38" xfId="199" applyNumberFormat="1" applyFont="1" applyFill="1" applyBorder="1" applyAlignment="1">
      <alignment wrapText="1"/>
    </xf>
    <xf numFmtId="3" fontId="18" fillId="0" borderId="11" xfId="199" applyNumberFormat="1" applyFont="1" applyFill="1" applyBorder="1" applyAlignment="1">
      <alignment wrapText="1"/>
    </xf>
    <xf numFmtId="3" fontId="58" fillId="0" borderId="104" xfId="199" applyNumberFormat="1" applyFill="1" applyBorder="1" applyAlignment="1">
      <alignment wrapText="1"/>
    </xf>
    <xf numFmtId="3" fontId="60" fillId="0" borderId="11" xfId="199" applyNumberFormat="1" applyFont="1" applyFill="1" applyBorder="1" applyAlignment="1">
      <alignment wrapText="1"/>
    </xf>
    <xf numFmtId="3" fontId="47" fillId="0" borderId="43" xfId="200" applyNumberFormat="1" applyFont="1" applyFill="1" applyBorder="1" applyAlignment="1">
      <alignment horizontal="right"/>
    </xf>
    <xf numFmtId="3" fontId="59" fillId="0" borderId="104" xfId="199" applyNumberFormat="1" applyFont="1" applyFill="1" applyBorder="1" applyAlignment="1">
      <alignment wrapText="1"/>
    </xf>
    <xf numFmtId="3" fontId="58" fillId="0" borderId="48" xfId="199" applyNumberFormat="1" applyFill="1" applyBorder="1" applyAlignment="1">
      <alignment wrapText="1"/>
    </xf>
    <xf numFmtId="3" fontId="58" fillId="0" borderId="11" xfId="199" applyNumberFormat="1" applyFill="1" applyBorder="1" applyAlignment="1">
      <alignment wrapText="1"/>
    </xf>
    <xf numFmtId="3" fontId="47" fillId="0" borderId="83" xfId="200" applyNumberFormat="1" applyFont="1" applyFill="1" applyBorder="1" applyAlignment="1">
      <alignment horizontal="right"/>
    </xf>
    <xf numFmtId="3" fontId="46" fillId="0" borderId="11" xfId="200" applyNumberFormat="1" applyFont="1" applyFill="1" applyBorder="1" applyAlignment="1">
      <alignment horizontal="right"/>
    </xf>
    <xf numFmtId="3" fontId="49" fillId="0" borderId="104" xfId="199" applyNumberFormat="1" applyFont="1" applyFill="1" applyBorder="1" applyAlignment="1">
      <alignment wrapText="1"/>
    </xf>
    <xf numFmtId="3" fontId="46" fillId="0" borderId="36" xfId="200" applyNumberFormat="1" applyFont="1" applyFill="1" applyBorder="1" applyAlignment="1">
      <alignment horizontal="right"/>
    </xf>
    <xf numFmtId="3" fontId="17" fillId="0" borderId="39" xfId="199" applyNumberFormat="1" applyFont="1" applyFill="1" applyBorder="1" applyAlignment="1">
      <alignment wrapText="1"/>
    </xf>
    <xf numFmtId="3" fontId="59" fillId="0" borderId="39" xfId="199" applyNumberFormat="1" applyFont="1" applyFill="1" applyBorder="1" applyAlignment="1">
      <alignment wrapText="1"/>
    </xf>
    <xf numFmtId="3" fontId="79" fillId="0" borderId="0" xfId="274" applyNumberFormat="1" applyFont="1" applyFill="1"/>
    <xf numFmtId="3" fontId="49" fillId="0" borderId="39" xfId="199" applyNumberFormat="1" applyFont="1" applyFill="1" applyBorder="1" applyAlignment="1">
      <alignment wrapText="1"/>
    </xf>
    <xf numFmtId="0" fontId="39" fillId="0" borderId="10" xfId="200" applyFont="1" applyFill="1" applyBorder="1" applyAlignment="1">
      <alignment horizontal="center"/>
    </xf>
    <xf numFmtId="0" fontId="63" fillId="0" borderId="14" xfId="199" applyFont="1" applyFill="1" applyBorder="1" applyAlignment="1">
      <alignment horizontal="center" vertical="center" wrapText="1"/>
    </xf>
    <xf numFmtId="3" fontId="63" fillId="0" borderId="14" xfId="200" applyNumberFormat="1" applyFont="1" applyFill="1" applyBorder="1" applyAlignment="1">
      <alignment horizontal="center" vertical="center" wrapText="1"/>
    </xf>
    <xf numFmtId="3" fontId="63" fillId="0" borderId="10" xfId="200" applyNumberFormat="1" applyFont="1" applyFill="1" applyBorder="1" applyAlignment="1">
      <alignment horizontal="center" vertical="center" wrapText="1"/>
    </xf>
    <xf numFmtId="3" fontId="63" fillId="0" borderId="35" xfId="200" applyNumberFormat="1" applyFont="1" applyFill="1" applyBorder="1" applyAlignment="1">
      <alignment horizontal="center" vertical="center" wrapText="1"/>
    </xf>
    <xf numFmtId="3" fontId="63" fillId="0" borderId="80" xfId="200" applyNumberFormat="1" applyFont="1" applyFill="1" applyBorder="1" applyAlignment="1">
      <alignment horizontal="center" vertical="center" wrapText="1"/>
    </xf>
    <xf numFmtId="0" fontId="63" fillId="0" borderId="10" xfId="200" applyFont="1" applyFill="1" applyBorder="1" applyAlignment="1">
      <alignment horizontal="center" vertical="center" wrapText="1"/>
    </xf>
    <xf numFmtId="0" fontId="66" fillId="0" borderId="10" xfId="200" applyFont="1" applyFill="1" applyBorder="1" applyAlignment="1">
      <alignment horizontal="center"/>
    </xf>
    <xf numFmtId="0" fontId="62" fillId="0" borderId="14" xfId="199" applyFont="1" applyFill="1" applyBorder="1" applyAlignment="1">
      <alignment horizontal="center" wrapText="1"/>
    </xf>
    <xf numFmtId="3" fontId="62" fillId="0" borderId="10" xfId="200" applyNumberFormat="1" applyFont="1" applyFill="1" applyBorder="1" applyAlignment="1">
      <alignment horizontal="center"/>
    </xf>
    <xf numFmtId="3" fontId="62" fillId="0" borderId="35" xfId="200" applyNumberFormat="1" applyFont="1" applyFill="1" applyBorder="1" applyAlignment="1">
      <alignment horizontal="center"/>
    </xf>
    <xf numFmtId="3" fontId="85" fillId="0" borderId="10" xfId="200" applyNumberFormat="1" applyFont="1" applyFill="1" applyBorder="1" applyAlignment="1">
      <alignment horizontal="center"/>
    </xf>
    <xf numFmtId="3" fontId="62" fillId="0" borderId="14" xfId="200" applyNumberFormat="1" applyFont="1" applyFill="1" applyBorder="1" applyAlignment="1">
      <alignment horizontal="center"/>
    </xf>
    <xf numFmtId="0" fontId="86" fillId="0" borderId="0" xfId="196" applyFont="1" applyFill="1" applyAlignment="1">
      <alignment horizontal="center"/>
    </xf>
    <xf numFmtId="0" fontId="47" fillId="0" borderId="36" xfId="200" applyFont="1" applyFill="1" applyBorder="1"/>
    <xf numFmtId="0" fontId="58" fillId="0" borderId="21" xfId="199" applyFill="1" applyBorder="1" applyAlignment="1">
      <alignment wrapText="1"/>
    </xf>
    <xf numFmtId="3" fontId="58" fillId="0" borderId="34" xfId="200" applyNumberFormat="1" applyFill="1" applyBorder="1"/>
    <xf numFmtId="3" fontId="58" fillId="0" borderId="24" xfId="200" applyNumberFormat="1" applyFill="1" applyBorder="1"/>
    <xf numFmtId="3" fontId="58" fillId="0" borderId="65" xfId="200" applyNumberFormat="1" applyFill="1" applyBorder="1"/>
    <xf numFmtId="3" fontId="58" fillId="0" borderId="11" xfId="200" applyNumberFormat="1" applyFill="1" applyBorder="1"/>
    <xf numFmtId="3" fontId="58" fillId="0" borderId="20" xfId="200" applyNumberFormat="1" applyFill="1" applyBorder="1"/>
    <xf numFmtId="3" fontId="58" fillId="0" borderId="38" xfId="200" applyNumberFormat="1" applyFill="1" applyBorder="1"/>
    <xf numFmtId="0" fontId="18" fillId="0" borderId="36" xfId="200" applyFont="1" applyFill="1" applyBorder="1"/>
    <xf numFmtId="0" fontId="18" fillId="0" borderId="39" xfId="199" applyFont="1" applyFill="1" applyBorder="1" applyAlignment="1">
      <alignment wrapText="1"/>
    </xf>
    <xf numFmtId="3" fontId="18" fillId="0" borderId="34" xfId="200" applyNumberFormat="1" applyFont="1" applyFill="1" applyBorder="1"/>
    <xf numFmtId="3" fontId="18" fillId="0" borderId="24" xfId="200" applyNumberFormat="1" applyFont="1" applyFill="1" applyBorder="1"/>
    <xf numFmtId="3" fontId="18" fillId="0" borderId="65" xfId="200" applyNumberFormat="1" applyFont="1" applyFill="1" applyBorder="1"/>
    <xf numFmtId="3" fontId="18" fillId="0" borderId="11" xfId="200" applyNumberFormat="1" applyFont="1" applyFill="1" applyBorder="1"/>
    <xf numFmtId="3" fontId="18" fillId="0" borderId="81" xfId="200" applyNumberFormat="1" applyFont="1" applyFill="1" applyBorder="1"/>
    <xf numFmtId="3" fontId="18" fillId="0" borderId="74" xfId="200" applyNumberFormat="1" applyFont="1" applyFill="1" applyBorder="1"/>
    <xf numFmtId="3" fontId="18" fillId="0" borderId="38" xfId="200" applyNumberFormat="1" applyFont="1" applyFill="1" applyBorder="1"/>
    <xf numFmtId="0" fontId="18" fillId="0" borderId="0" xfId="196" applyFont="1" applyFill="1"/>
    <xf numFmtId="3" fontId="58" fillId="0" borderId="81" xfId="200" applyNumberFormat="1" applyFill="1" applyBorder="1"/>
    <xf numFmtId="3" fontId="58" fillId="0" borderId="74" xfId="200" applyNumberFormat="1" applyFill="1" applyBorder="1"/>
    <xf numFmtId="0" fontId="47" fillId="0" borderId="10" xfId="200" applyFont="1" applyFill="1" applyBorder="1"/>
    <xf numFmtId="0" fontId="59" fillId="0" borderId="14" xfId="199" applyFont="1" applyFill="1" applyBorder="1" applyAlignment="1">
      <alignment wrapText="1"/>
    </xf>
    <xf numFmtId="3" fontId="59" fillId="0" borderId="10" xfId="200" applyNumberFormat="1" applyFont="1" applyFill="1" applyBorder="1"/>
    <xf numFmtId="3" fontId="18" fillId="0" borderId="20" xfId="200" applyNumberFormat="1" applyFont="1" applyFill="1" applyBorder="1"/>
    <xf numFmtId="0" fontId="47" fillId="0" borderId="11" xfId="200" applyFont="1" applyFill="1" applyBorder="1"/>
    <xf numFmtId="0" fontId="18" fillId="0" borderId="21" xfId="199" applyFont="1" applyFill="1" applyBorder="1" applyAlignment="1">
      <alignment wrapText="1"/>
    </xf>
    <xf numFmtId="3" fontId="16" fillId="0" borderId="11" xfId="200" applyNumberFormat="1" applyFont="1" applyFill="1" applyBorder="1"/>
    <xf numFmtId="3" fontId="16" fillId="0" borderId="38" xfId="200" applyNumberFormat="1" applyFont="1" applyFill="1" applyBorder="1"/>
    <xf numFmtId="0" fontId="58" fillId="0" borderId="37" xfId="199" applyFill="1" applyBorder="1" applyAlignment="1">
      <alignment wrapText="1"/>
    </xf>
    <xf numFmtId="3" fontId="58" fillId="0" borderId="63" xfId="200" applyNumberFormat="1" applyFill="1" applyBorder="1"/>
    <xf numFmtId="3" fontId="58" fillId="0" borderId="23" xfId="200" applyNumberFormat="1" applyFill="1" applyBorder="1"/>
    <xf numFmtId="3" fontId="58" fillId="0" borderId="19" xfId="200" applyNumberFormat="1" applyFill="1" applyBorder="1"/>
    <xf numFmtId="3" fontId="58" fillId="0" borderId="64" xfId="200" applyNumberFormat="1" applyFill="1" applyBorder="1"/>
    <xf numFmtId="3" fontId="58" fillId="0" borderId="36" xfId="200" applyNumberFormat="1" applyFill="1" applyBorder="1"/>
    <xf numFmtId="3" fontId="18" fillId="0" borderId="63" xfId="200" applyNumberFormat="1" applyFont="1" applyFill="1" applyBorder="1"/>
    <xf numFmtId="3" fontId="18" fillId="0" borderId="23" xfId="200" applyNumberFormat="1" applyFont="1" applyFill="1" applyBorder="1"/>
    <xf numFmtId="3" fontId="18" fillId="0" borderId="36" xfId="200" applyNumberFormat="1" applyFont="1" applyFill="1" applyBorder="1"/>
    <xf numFmtId="3" fontId="16" fillId="0" borderId="36" xfId="200" applyNumberFormat="1" applyFont="1" applyFill="1" applyBorder="1"/>
    <xf numFmtId="0" fontId="16" fillId="0" borderId="36" xfId="200" applyFont="1" applyFill="1" applyBorder="1"/>
    <xf numFmtId="3" fontId="16" fillId="0" borderId="34" xfId="200" applyNumberFormat="1" applyFont="1" applyFill="1" applyBorder="1"/>
    <xf numFmtId="3" fontId="16" fillId="0" borderId="24" xfId="200" applyNumberFormat="1" applyFont="1" applyFill="1" applyBorder="1"/>
    <xf numFmtId="3" fontId="16" fillId="0" borderId="65" xfId="200" applyNumberFormat="1" applyFont="1" applyFill="1" applyBorder="1"/>
    <xf numFmtId="3" fontId="16" fillId="0" borderId="81" xfId="200" applyNumberFormat="1" applyFont="1" applyFill="1" applyBorder="1"/>
    <xf numFmtId="3" fontId="16" fillId="0" borderId="74" xfId="200" applyNumberFormat="1" applyFont="1" applyFill="1" applyBorder="1"/>
    <xf numFmtId="3" fontId="16" fillId="0" borderId="20" xfId="200" applyNumberFormat="1" applyFont="1" applyFill="1" applyBorder="1"/>
    <xf numFmtId="0" fontId="47" fillId="0" borderId="43" xfId="200" applyFont="1" applyFill="1" applyBorder="1"/>
    <xf numFmtId="0" fontId="58" fillId="0" borderId="104" xfId="199" applyFill="1" applyBorder="1" applyAlignment="1">
      <alignment wrapText="1"/>
    </xf>
    <xf numFmtId="3" fontId="58" fillId="0" borderId="110" xfId="200" applyNumberFormat="1" applyFill="1" applyBorder="1"/>
    <xf numFmtId="3" fontId="58" fillId="0" borderId="17" xfId="200" applyNumberFormat="1" applyFill="1" applyBorder="1"/>
    <xf numFmtId="3" fontId="58" fillId="0" borderId="97" xfId="200" applyNumberFormat="1" applyFill="1" applyBorder="1"/>
    <xf numFmtId="3" fontId="58" fillId="0" borderId="43" xfId="200" applyNumberFormat="1" applyFill="1" applyBorder="1"/>
    <xf numFmtId="3" fontId="58" fillId="0" borderId="86" xfId="200" applyNumberFormat="1" applyFill="1" applyBorder="1"/>
    <xf numFmtId="0" fontId="18" fillId="0" borderId="11" xfId="200" applyFont="1" applyFill="1" applyBorder="1"/>
    <xf numFmtId="0" fontId="59" fillId="0" borderId="104" xfId="199" applyFont="1" applyFill="1" applyBorder="1" applyAlignment="1">
      <alignment wrapText="1"/>
    </xf>
    <xf numFmtId="3" fontId="59" fillId="0" borderId="86" xfId="200" applyNumberFormat="1" applyFont="1" applyFill="1" applyBorder="1"/>
    <xf numFmtId="3" fontId="59" fillId="0" borderId="17" xfId="200" applyNumberFormat="1" applyFont="1" applyFill="1" applyBorder="1"/>
    <xf numFmtId="3" fontId="59" fillId="0" borderId="97" xfId="200" applyNumberFormat="1" applyFont="1" applyFill="1" applyBorder="1"/>
    <xf numFmtId="3" fontId="59" fillId="0" borderId="43" xfId="200" applyNumberFormat="1" applyFont="1" applyFill="1" applyBorder="1"/>
    <xf numFmtId="3" fontId="59" fillId="0" borderId="110" xfId="200" applyNumberFormat="1" applyFont="1" applyFill="1" applyBorder="1"/>
    <xf numFmtId="0" fontId="58" fillId="0" borderId="48" xfId="199" applyFill="1" applyBorder="1" applyAlignment="1">
      <alignment wrapText="1"/>
    </xf>
    <xf numFmtId="3" fontId="18" fillId="0" borderId="116" xfId="200" applyNumberFormat="1" applyFont="1" applyFill="1" applyBorder="1"/>
    <xf numFmtId="3" fontId="58" fillId="0" borderId="72" xfId="200" applyNumberFormat="1" applyFill="1" applyBorder="1"/>
    <xf numFmtId="3" fontId="58" fillId="0" borderId="73" xfId="200" applyNumberFormat="1" applyFill="1" applyBorder="1"/>
    <xf numFmtId="3" fontId="18" fillId="0" borderId="64" xfId="200" applyNumberFormat="1" applyFont="1" applyFill="1" applyBorder="1"/>
    <xf numFmtId="3" fontId="16" fillId="0" borderId="63" xfId="200" applyNumberFormat="1" applyFont="1" applyFill="1" applyBorder="1"/>
    <xf numFmtId="3" fontId="16" fillId="0" borderId="23" xfId="200" applyNumberFormat="1" applyFont="1" applyFill="1" applyBorder="1"/>
    <xf numFmtId="3" fontId="16" fillId="0" borderId="64" xfId="200" applyNumberFormat="1" applyFont="1" applyFill="1" applyBorder="1"/>
    <xf numFmtId="0" fontId="59" fillId="0" borderId="10" xfId="199" applyFont="1" applyFill="1" applyBorder="1" applyAlignment="1">
      <alignment wrapText="1"/>
    </xf>
    <xf numFmtId="3" fontId="59" fillId="0" borderId="14" xfId="200" applyNumberFormat="1" applyFont="1" applyFill="1" applyBorder="1"/>
    <xf numFmtId="3" fontId="18" fillId="0" borderId="25" xfId="200" applyNumberFormat="1" applyFont="1" applyFill="1" applyBorder="1"/>
    <xf numFmtId="3" fontId="18" fillId="0" borderId="21" xfId="200" applyNumberFormat="1" applyFont="1" applyFill="1" applyBorder="1"/>
    <xf numFmtId="3" fontId="18" fillId="0" borderId="26" xfId="200" applyNumberFormat="1" applyFont="1" applyFill="1" applyBorder="1"/>
    <xf numFmtId="3" fontId="16" fillId="0" borderId="26" xfId="200" applyNumberFormat="1" applyFont="1" applyFill="1" applyBorder="1"/>
    <xf numFmtId="3" fontId="16" fillId="0" borderId="21" xfId="200" applyNumberFormat="1" applyFont="1" applyFill="1" applyBorder="1"/>
    <xf numFmtId="3" fontId="16" fillId="0" borderId="25" xfId="200" applyNumberFormat="1" applyFont="1" applyFill="1" applyBorder="1"/>
    <xf numFmtId="0" fontId="18" fillId="0" borderId="83" xfId="200" applyFont="1" applyFill="1" applyBorder="1"/>
    <xf numFmtId="3" fontId="18" fillId="0" borderId="117" xfId="200" applyNumberFormat="1" applyFont="1" applyFill="1" applyBorder="1"/>
    <xf numFmtId="3" fontId="18" fillId="0" borderId="115" xfId="200" applyNumberFormat="1" applyFont="1" applyFill="1" applyBorder="1"/>
    <xf numFmtId="3" fontId="18" fillId="0" borderId="73" xfId="200" applyNumberFormat="1" applyFont="1" applyFill="1" applyBorder="1"/>
    <xf numFmtId="0" fontId="16" fillId="0" borderId="11" xfId="200" applyFont="1" applyFill="1" applyBorder="1"/>
    <xf numFmtId="0" fontId="16" fillId="0" borderId="39" xfId="199" applyFont="1" applyFill="1" applyBorder="1" applyAlignment="1">
      <alignment wrapText="1"/>
    </xf>
    <xf numFmtId="3" fontId="16" fillId="0" borderId="24" xfId="200" applyNumberFormat="1" applyFont="1" applyFill="1" applyBorder="1" applyAlignment="1">
      <alignment wrapText="1"/>
    </xf>
    <xf numFmtId="3" fontId="16" fillId="0" borderId="65" xfId="200" applyNumberFormat="1" applyFont="1" applyFill="1" applyBorder="1" applyAlignment="1">
      <alignment wrapText="1"/>
    </xf>
    <xf numFmtId="3" fontId="16" fillId="0" borderId="11" xfId="200" applyNumberFormat="1" applyFont="1" applyFill="1" applyBorder="1" applyAlignment="1">
      <alignment wrapText="1"/>
    </xf>
    <xf numFmtId="3" fontId="16" fillId="0" borderId="20" xfId="200" applyNumberFormat="1" applyFont="1" applyFill="1" applyBorder="1" applyAlignment="1">
      <alignment wrapText="1"/>
    </xf>
    <xf numFmtId="0" fontId="18" fillId="0" borderId="0" xfId="196" applyFont="1" applyFill="1" applyAlignment="1">
      <alignment wrapText="1"/>
    </xf>
    <xf numFmtId="3" fontId="33" fillId="0" borderId="0" xfId="196" applyNumberFormat="1" applyFont="1" applyFill="1"/>
    <xf numFmtId="0" fontId="33" fillId="0" borderId="0" xfId="196" applyFont="1" applyFill="1"/>
    <xf numFmtId="0" fontId="49" fillId="0" borderId="104" xfId="199" applyFont="1" applyFill="1" applyBorder="1" applyAlignment="1">
      <alignment wrapText="1"/>
    </xf>
    <xf numFmtId="0" fontId="17" fillId="0" borderId="11" xfId="200" applyFont="1" applyFill="1" applyBorder="1"/>
    <xf numFmtId="0" fontId="17" fillId="0" borderId="39" xfId="199" applyFont="1" applyFill="1" applyBorder="1" applyAlignment="1">
      <alignment wrapText="1"/>
    </xf>
    <xf numFmtId="3" fontId="17" fillId="0" borderId="34" xfId="200" applyNumberFormat="1" applyFont="1" applyFill="1" applyBorder="1"/>
    <xf numFmtId="3" fontId="17" fillId="0" borderId="11" xfId="200" applyNumberFormat="1" applyFont="1" applyFill="1" applyBorder="1"/>
    <xf numFmtId="3" fontId="49" fillId="0" borderId="21" xfId="199" applyNumberFormat="1" applyFont="1" applyFill="1" applyBorder="1" applyAlignment="1">
      <alignment wrapText="1"/>
    </xf>
    <xf numFmtId="3" fontId="17" fillId="0" borderId="65" xfId="200" applyNumberFormat="1" applyFont="1" applyFill="1" applyBorder="1"/>
    <xf numFmtId="3" fontId="17" fillId="0" borderId="20" xfId="200" applyNumberFormat="1" applyFont="1" applyFill="1" applyBorder="1"/>
    <xf numFmtId="0" fontId="49" fillId="0" borderId="39" xfId="199" applyFont="1" applyFill="1" applyBorder="1" applyAlignment="1">
      <alignment wrapText="1"/>
    </xf>
    <xf numFmtId="3" fontId="0" fillId="0" borderId="69" xfId="0" applyNumberFormat="1" applyFont="1" applyFill="1" applyBorder="1" applyAlignment="1">
      <alignment vertical="top" wrapText="1"/>
    </xf>
    <xf numFmtId="3" fontId="0" fillId="0" borderId="69" xfId="0" applyNumberFormat="1" applyFont="1" applyFill="1" applyBorder="1" applyAlignment="1">
      <alignment wrapText="1"/>
    </xf>
    <xf numFmtId="3" fontId="16" fillId="0" borderId="95" xfId="195" applyNumberFormat="1" applyFont="1" applyFill="1" applyBorder="1"/>
    <xf numFmtId="3" fontId="43" fillId="0" borderId="34" xfId="0" applyNumberFormat="1" applyFont="1" applyFill="1" applyBorder="1"/>
    <xf numFmtId="0" fontId="0" fillId="0" borderId="56" xfId="157" applyFont="1" applyFill="1" applyBorder="1" applyAlignment="1">
      <alignment wrapText="1"/>
    </xf>
    <xf numFmtId="0" fontId="47" fillId="0" borderId="0" xfId="277" applyFont="1" applyFill="1"/>
    <xf numFmtId="3" fontId="46" fillId="0" borderId="84" xfId="277" applyNumberFormat="1" applyFont="1" applyFill="1" applyBorder="1" applyAlignment="1">
      <alignment horizontal="centerContinuous" vertical="center"/>
    </xf>
    <xf numFmtId="3" fontId="46" fillId="0" borderId="142" xfId="277" applyNumberFormat="1" applyFont="1" applyFill="1" applyBorder="1" applyAlignment="1">
      <alignment horizontal="centerContinuous" vertical="center"/>
    </xf>
    <xf numFmtId="0" fontId="46" fillId="0" borderId="30" xfId="277" applyFont="1" applyFill="1" applyBorder="1" applyAlignment="1">
      <alignment horizontal="center" vertical="center" wrapText="1"/>
    </xf>
    <xf numFmtId="3" fontId="46" fillId="0" borderId="85" xfId="277" applyNumberFormat="1" applyFont="1" applyFill="1" applyBorder="1" applyAlignment="1">
      <alignment horizontal="left"/>
    </xf>
    <xf numFmtId="3" fontId="46" fillId="0" borderId="24" xfId="277" applyNumberFormat="1" applyFont="1" applyFill="1" applyBorder="1"/>
    <xf numFmtId="0" fontId="48" fillId="0" borderId="85" xfId="277" applyFont="1" applyFill="1" applyBorder="1" applyAlignment="1">
      <alignment horizontal="right"/>
    </xf>
    <xf numFmtId="3" fontId="55" fillId="0" borderId="24" xfId="277" applyNumberFormat="1" applyFont="1" applyFill="1" applyBorder="1" applyAlignment="1">
      <alignment horizontal="left"/>
    </xf>
    <xf numFmtId="3" fontId="48" fillId="0" borderId="85" xfId="277" applyNumberFormat="1" applyFont="1" applyFill="1" applyBorder="1" applyAlignment="1">
      <alignment horizontal="left"/>
    </xf>
    <xf numFmtId="3" fontId="46" fillId="0" borderId="32" xfId="277" applyNumberFormat="1" applyFont="1" applyFill="1" applyBorder="1" applyAlignment="1">
      <alignment horizontal="left"/>
    </xf>
    <xf numFmtId="3" fontId="47" fillId="0" borderId="24" xfId="277" applyNumberFormat="1" applyFont="1" applyFill="1" applyBorder="1" applyAlignment="1">
      <alignment horizontal="left"/>
    </xf>
    <xf numFmtId="3" fontId="46" fillId="0" borderId="70" xfId="277" applyNumberFormat="1" applyFont="1" applyFill="1" applyBorder="1" applyAlignment="1">
      <alignment horizontal="left"/>
    </xf>
    <xf numFmtId="3" fontId="47" fillId="0" borderId="73" xfId="277" applyNumberFormat="1" applyFont="1" applyFill="1" applyBorder="1" applyAlignment="1">
      <alignment horizontal="left"/>
    </xf>
    <xf numFmtId="3" fontId="46" fillId="0" borderId="124" xfId="277" applyNumberFormat="1" applyFont="1" applyFill="1" applyBorder="1"/>
    <xf numFmtId="3" fontId="46" fillId="0" borderId="125" xfId="277" applyNumberFormat="1" applyFont="1" applyFill="1" applyBorder="1"/>
    <xf numFmtId="3" fontId="46" fillId="0" borderId="0" xfId="277" applyNumberFormat="1" applyFont="1" applyFill="1"/>
    <xf numFmtId="3" fontId="46" fillId="0" borderId="0" xfId="277" applyNumberFormat="1" applyFont="1" applyFill="1" applyAlignment="1">
      <alignment wrapText="1"/>
    </xf>
    <xf numFmtId="3" fontId="47" fillId="0" borderId="0" xfId="277" applyNumberFormat="1" applyFont="1" applyFill="1"/>
    <xf numFmtId="3" fontId="46" fillId="0" borderId="122" xfId="277" applyNumberFormat="1" applyFont="1" applyFill="1" applyBorder="1" applyAlignment="1">
      <alignment horizontal="centerContinuous" vertical="center"/>
    </xf>
    <xf numFmtId="0" fontId="48" fillId="0" borderId="32" xfId="277" applyFont="1" applyFill="1" applyBorder="1" applyAlignment="1">
      <alignment horizontal="right"/>
    </xf>
    <xf numFmtId="3" fontId="55" fillId="0" borderId="32" xfId="277" applyNumberFormat="1" applyFont="1" applyFill="1" applyBorder="1" applyAlignment="1">
      <alignment wrapText="1"/>
    </xf>
    <xf numFmtId="3" fontId="55" fillId="0" borderId="24" xfId="277" applyNumberFormat="1" applyFont="1" applyFill="1" applyBorder="1" applyAlignment="1">
      <alignment wrapText="1"/>
    </xf>
    <xf numFmtId="3" fontId="16" fillId="0" borderId="0" xfId="277" applyNumberFormat="1" applyFont="1" applyFill="1"/>
    <xf numFmtId="0" fontId="16" fillId="0" borderId="0" xfId="277" applyFont="1" applyFill="1"/>
    <xf numFmtId="0" fontId="43" fillId="0" borderId="0" xfId="257" applyFont="1" applyFill="1"/>
    <xf numFmtId="0" fontId="43" fillId="0" borderId="82" xfId="257" applyFont="1" applyFill="1" applyBorder="1" applyAlignment="1">
      <alignment horizontal="center"/>
    </xf>
    <xf numFmtId="0" fontId="42" fillId="0" borderId="10" xfId="256" applyFont="1" applyFill="1" applyBorder="1" applyAlignment="1">
      <alignment horizontal="center" vertical="center" wrapText="1"/>
    </xf>
    <xf numFmtId="3" fontId="42" fillId="0" borderId="10" xfId="257" applyNumberFormat="1" applyFont="1" applyFill="1" applyBorder="1" applyAlignment="1">
      <alignment horizontal="center" vertical="center" wrapText="1"/>
    </xf>
    <xf numFmtId="0" fontId="43" fillId="0" borderId="0" xfId="257" applyFont="1" applyFill="1" applyAlignment="1">
      <alignment horizontal="center" vertical="center"/>
    </xf>
    <xf numFmtId="0" fontId="42" fillId="0" borderId="10" xfId="258" applyFont="1" applyFill="1" applyBorder="1" applyAlignment="1">
      <alignment horizontal="center" wrapText="1"/>
    </xf>
    <xf numFmtId="3" fontId="42" fillId="0" borderId="10" xfId="258" applyNumberFormat="1" applyFont="1" applyFill="1" applyBorder="1" applyAlignment="1">
      <alignment horizontal="center"/>
    </xf>
    <xf numFmtId="3" fontId="42" fillId="0" borderId="11" xfId="259" applyNumberFormat="1" applyFont="1" applyFill="1" applyBorder="1" applyAlignment="1">
      <alignment wrapText="1"/>
    </xf>
    <xf numFmtId="0" fontId="43" fillId="0" borderId="11" xfId="259" applyFont="1" applyFill="1" applyBorder="1"/>
    <xf numFmtId="0" fontId="42" fillId="0" borderId="11" xfId="196" applyFont="1" applyFill="1" applyBorder="1" applyAlignment="1">
      <alignment wrapText="1"/>
    </xf>
    <xf numFmtId="3" fontId="43" fillId="0" borderId="11" xfId="257" applyNumberFormat="1" applyFont="1" applyFill="1" applyBorder="1"/>
    <xf numFmtId="3" fontId="42" fillId="0" borderId="11" xfId="257" applyNumberFormat="1" applyFont="1" applyFill="1" applyBorder="1"/>
    <xf numFmtId="0" fontId="43" fillId="0" borderId="11" xfId="196" applyFont="1" applyFill="1" applyBorder="1" applyAlignment="1">
      <alignment wrapText="1"/>
    </xf>
    <xf numFmtId="3" fontId="43" fillId="0" borderId="21" xfId="257" applyNumberFormat="1" applyFont="1" applyFill="1" applyBorder="1"/>
    <xf numFmtId="165" fontId="43" fillId="0" borderId="0" xfId="257" applyNumberFormat="1" applyFont="1" applyFill="1"/>
    <xf numFmtId="3" fontId="42" fillId="0" borderId="14" xfId="257" applyNumberFormat="1" applyFont="1" applyFill="1" applyBorder="1"/>
    <xf numFmtId="3" fontId="42" fillId="0" borderId="83" xfId="259" applyNumberFormat="1" applyFont="1" applyFill="1" applyBorder="1" applyAlignment="1">
      <alignment wrapText="1"/>
    </xf>
    <xf numFmtId="3" fontId="42" fillId="0" borderId="48" xfId="257" applyNumberFormat="1" applyFont="1" applyFill="1" applyBorder="1"/>
    <xf numFmtId="3" fontId="43" fillId="0" borderId="11" xfId="259" applyNumberFormat="1" applyFont="1" applyFill="1" applyBorder="1" applyAlignment="1">
      <alignment wrapText="1"/>
    </xf>
    <xf numFmtId="0" fontId="43" fillId="0" borderId="36" xfId="196" applyFont="1" applyFill="1" applyBorder="1" applyAlignment="1">
      <alignment wrapText="1"/>
    </xf>
    <xf numFmtId="3" fontId="43" fillId="0" borderId="0" xfId="257" applyNumberFormat="1" applyFont="1" applyFill="1"/>
    <xf numFmtId="0" fontId="42" fillId="0" borderId="11" xfId="196" applyFont="1" applyFill="1" applyBorder="1"/>
    <xf numFmtId="0" fontId="43" fillId="0" borderId="83" xfId="196" applyFont="1" applyFill="1" applyBorder="1" applyAlignment="1">
      <alignment wrapText="1"/>
    </xf>
    <xf numFmtId="3" fontId="43" fillId="0" borderId="48" xfId="257" applyNumberFormat="1" applyFont="1" applyFill="1" applyBorder="1"/>
    <xf numFmtId="0" fontId="42" fillId="0" borderId="15" xfId="196" applyFont="1" applyFill="1" applyBorder="1"/>
    <xf numFmtId="3" fontId="42" fillId="0" borderId="15" xfId="257" applyNumberFormat="1" applyFont="1" applyFill="1" applyBorder="1"/>
    <xf numFmtId="3" fontId="42" fillId="0" borderId="0" xfId="257" applyNumberFormat="1" applyFont="1" applyFill="1"/>
    <xf numFmtId="0" fontId="72" fillId="0" borderId="0" xfId="273" applyFont="1" applyFill="1"/>
    <xf numFmtId="0" fontId="72" fillId="0" borderId="0" xfId="273" applyFont="1" applyFill="1" applyAlignment="1">
      <alignment wrapText="1"/>
    </xf>
    <xf numFmtId="0" fontId="71" fillId="0" borderId="0" xfId="273" applyFont="1" applyFill="1" applyAlignment="1">
      <alignment horizontal="right"/>
    </xf>
    <xf numFmtId="0" fontId="68" fillId="0" borderId="0" xfId="273" applyFont="1" applyFill="1"/>
    <xf numFmtId="0" fontId="72" fillId="0" borderId="0" xfId="273" applyFont="1" applyFill="1" applyAlignment="1">
      <alignment horizontal="right"/>
    </xf>
    <xf numFmtId="0" fontId="71" fillId="0" borderId="0" xfId="273" applyFont="1" applyFill="1"/>
    <xf numFmtId="0" fontId="68" fillId="0" borderId="0" xfId="273" applyFont="1" applyFill="1" applyAlignment="1">
      <alignment horizontal="right"/>
    </xf>
    <xf numFmtId="3" fontId="72" fillId="0" borderId="0" xfId="273" applyNumberFormat="1" applyFont="1" applyFill="1"/>
    <xf numFmtId="0" fontId="71" fillId="0" borderId="88" xfId="273" applyFont="1" applyFill="1" applyBorder="1" applyAlignment="1">
      <alignment horizontal="center" vertical="center" wrapText="1"/>
    </xf>
    <xf numFmtId="0" fontId="71" fillId="0" borderId="129" xfId="273" applyFont="1" applyFill="1" applyBorder="1" applyAlignment="1">
      <alignment horizontal="center" vertical="center" wrapText="1"/>
    </xf>
    <xf numFmtId="0" fontId="71" fillId="0" borderId="139" xfId="273" applyFont="1" applyFill="1" applyBorder="1" applyAlignment="1">
      <alignment horizontal="center" vertical="center" wrapText="1"/>
    </xf>
    <xf numFmtId="0" fontId="71" fillId="0" borderId="96" xfId="273" applyFont="1" applyFill="1" applyBorder="1" applyAlignment="1">
      <alignment horizontal="center" vertical="center" wrapText="1"/>
    </xf>
    <xf numFmtId="0" fontId="71" fillId="0" borderId="140" xfId="273" applyFont="1" applyFill="1" applyBorder="1" applyAlignment="1">
      <alignment horizontal="center" vertical="center" wrapText="1"/>
    </xf>
    <xf numFmtId="0" fontId="71" fillId="0" borderId="141" xfId="273" applyFont="1" applyFill="1" applyBorder="1" applyAlignment="1">
      <alignment horizontal="center" vertical="center" wrapText="1"/>
    </xf>
    <xf numFmtId="0" fontId="71" fillId="0" borderId="61" xfId="273" applyFont="1" applyFill="1" applyBorder="1" applyAlignment="1">
      <alignment horizontal="center" wrapText="1"/>
    </xf>
    <xf numFmtId="0" fontId="71" fillId="0" borderId="33" xfId="273" applyFont="1" applyFill="1" applyBorder="1" applyAlignment="1">
      <alignment horizontal="center" wrapText="1"/>
    </xf>
    <xf numFmtId="0" fontId="71" fillId="0" borderId="0" xfId="273" applyFont="1" applyFill="1" applyAlignment="1">
      <alignment wrapText="1"/>
    </xf>
    <xf numFmtId="0" fontId="72" fillId="0" borderId="138" xfId="273" applyFont="1" applyFill="1" applyBorder="1"/>
    <xf numFmtId="0" fontId="72" fillId="0" borderId="75" xfId="273" applyFont="1" applyFill="1" applyBorder="1" applyAlignment="1">
      <alignment wrapText="1"/>
    </xf>
    <xf numFmtId="0" fontId="72" fillId="0" borderId="56" xfId="273" applyFont="1" applyFill="1" applyBorder="1" applyAlignment="1">
      <alignment wrapText="1"/>
    </xf>
    <xf numFmtId="0" fontId="72" fillId="0" borderId="81" xfId="273" applyFont="1" applyFill="1" applyBorder="1" applyAlignment="1">
      <alignment wrapText="1"/>
    </xf>
    <xf numFmtId="3" fontId="72" fillId="0" borderId="81" xfId="273" applyNumberFormat="1" applyFont="1" applyFill="1" applyBorder="1" applyAlignment="1">
      <alignment wrapText="1"/>
    </xf>
    <xf numFmtId="3" fontId="72" fillId="0" borderId="75" xfId="273" applyNumberFormat="1" applyFont="1" applyFill="1" applyBorder="1"/>
    <xf numFmtId="3" fontId="72" fillId="0" borderId="72" xfId="273" applyNumberFormat="1" applyFont="1" applyFill="1" applyBorder="1"/>
    <xf numFmtId="3" fontId="72" fillId="0" borderId="31" xfId="273" applyNumberFormat="1" applyFont="1" applyFill="1" applyBorder="1"/>
    <xf numFmtId="0" fontId="72" fillId="0" borderId="20" xfId="273" applyFont="1" applyFill="1" applyBorder="1" applyAlignment="1">
      <alignment wrapText="1"/>
    </xf>
    <xf numFmtId="3" fontId="72" fillId="0" borderId="56" xfId="273" applyNumberFormat="1" applyFont="1" applyFill="1" applyBorder="1"/>
    <xf numFmtId="3" fontId="72" fillId="0" borderId="34" xfId="273" applyNumberFormat="1" applyFont="1" applyFill="1" applyBorder="1"/>
    <xf numFmtId="3" fontId="72" fillId="0" borderId="20" xfId="273" applyNumberFormat="1" applyFont="1" applyFill="1" applyBorder="1" applyAlignment="1">
      <alignment wrapText="1"/>
    </xf>
    <xf numFmtId="3" fontId="72" fillId="0" borderId="24" xfId="273" applyNumberFormat="1" applyFont="1" applyFill="1" applyBorder="1"/>
    <xf numFmtId="14" fontId="72" fillId="0" borderId="56" xfId="273" applyNumberFormat="1" applyFont="1" applyFill="1" applyBorder="1" applyAlignment="1">
      <alignment wrapText="1"/>
    </xf>
    <xf numFmtId="0" fontId="72" fillId="0" borderId="56" xfId="273" applyFont="1" applyFill="1" applyBorder="1" applyAlignment="1">
      <alignment vertical="top" wrapText="1"/>
    </xf>
    <xf numFmtId="0" fontId="71" fillId="0" borderId="60" xfId="273" applyFont="1" applyFill="1" applyBorder="1"/>
    <xf numFmtId="0" fontId="71" fillId="0" borderId="33" xfId="273" applyFont="1" applyFill="1" applyBorder="1" applyAlignment="1">
      <alignment wrapText="1"/>
    </xf>
    <xf numFmtId="0" fontId="71" fillId="0" borderId="61" xfId="273" applyFont="1" applyFill="1" applyBorder="1" applyAlignment="1">
      <alignment wrapText="1"/>
    </xf>
    <xf numFmtId="0" fontId="71" fillId="0" borderId="68" xfId="273" applyFont="1" applyFill="1" applyBorder="1" applyAlignment="1">
      <alignment wrapText="1"/>
    </xf>
    <xf numFmtId="3" fontId="71" fillId="0" borderId="33" xfId="273" applyNumberFormat="1" applyFont="1" applyFill="1" applyBorder="1"/>
    <xf numFmtId="3" fontId="71" fillId="0" borderId="61" xfId="273" applyNumberFormat="1" applyFont="1" applyFill="1" applyBorder="1"/>
    <xf numFmtId="3" fontId="71" fillId="0" borderId="0" xfId="273" applyNumberFormat="1" applyFont="1" applyFill="1"/>
    <xf numFmtId="0" fontId="81" fillId="0" borderId="0" xfId="273" applyFont="1" applyFill="1" applyAlignment="1">
      <alignment wrapText="1"/>
    </xf>
    <xf numFmtId="3" fontId="72" fillId="0" borderId="0" xfId="273" applyNumberFormat="1" applyFont="1" applyFill="1" applyAlignment="1">
      <alignment wrapText="1"/>
    </xf>
    <xf numFmtId="3" fontId="72" fillId="0" borderId="0" xfId="172" applyNumberFormat="1" applyFont="1" applyFill="1"/>
    <xf numFmtId="165" fontId="72" fillId="0" borderId="0" xfId="254" applyNumberFormat="1" applyFont="1" applyFill="1" applyAlignment="1">
      <alignment wrapText="1"/>
    </xf>
    <xf numFmtId="0" fontId="77" fillId="0" borderId="0" xfId="275" applyFont="1" applyFill="1"/>
    <xf numFmtId="0" fontId="72" fillId="0" borderId="132" xfId="199" applyFont="1" applyFill="1" applyBorder="1" applyAlignment="1">
      <alignment wrapText="1"/>
    </xf>
    <xf numFmtId="0" fontId="72" fillId="0" borderId="135" xfId="199" applyFont="1" applyFill="1" applyBorder="1" applyAlignment="1">
      <alignment wrapText="1"/>
    </xf>
    <xf numFmtId="3" fontId="75" fillId="0" borderId="0" xfId="264" applyNumberFormat="1" applyFont="1" applyFill="1" applyAlignment="1">
      <alignment horizontal="left"/>
    </xf>
    <xf numFmtId="3" fontId="75" fillId="0" borderId="0" xfId="264" applyNumberFormat="1" applyFont="1" applyFill="1" applyAlignment="1">
      <alignment horizontal="right"/>
    </xf>
    <xf numFmtId="3" fontId="71" fillId="0" borderId="35" xfId="264" applyNumberFormat="1" applyFont="1" applyFill="1" applyBorder="1" applyAlignment="1">
      <alignment horizontal="left" vertical="center" wrapText="1"/>
    </xf>
    <xf numFmtId="3" fontId="71" fillId="0" borderId="14" xfId="264" applyNumberFormat="1" applyFont="1" applyFill="1" applyBorder="1" applyAlignment="1">
      <alignment horizontal="center" vertical="center" wrapText="1"/>
    </xf>
    <xf numFmtId="3" fontId="71" fillId="0" borderId="10" xfId="264" applyNumberFormat="1" applyFont="1" applyFill="1" applyBorder="1" applyAlignment="1">
      <alignment horizontal="center" vertical="center" wrapText="1"/>
    </xf>
    <xf numFmtId="0" fontId="42" fillId="0" borderId="10" xfId="256" applyFont="1" applyFill="1" applyBorder="1" applyAlignment="1">
      <alignment horizontal="left" vertical="center" wrapText="1"/>
    </xf>
    <xf numFmtId="0" fontId="18" fillId="0" borderId="15" xfId="200" applyFont="1" applyFill="1" applyBorder="1"/>
    <xf numFmtId="0" fontId="18" fillId="0" borderId="98" xfId="199" applyFont="1" applyFill="1" applyBorder="1" applyAlignment="1">
      <alignment wrapText="1"/>
    </xf>
    <xf numFmtId="3" fontId="16" fillId="0" borderId="111" xfId="200" applyNumberFormat="1" applyFont="1" applyFill="1" applyBorder="1"/>
    <xf numFmtId="3" fontId="16" fillId="0" borderId="28" xfId="200" applyNumberFormat="1" applyFont="1" applyFill="1" applyBorder="1"/>
    <xf numFmtId="3" fontId="18" fillId="0" borderId="144" xfId="200" applyNumberFormat="1" applyFont="1" applyFill="1" applyBorder="1"/>
    <xf numFmtId="3" fontId="18" fillId="0" borderId="28" xfId="200" applyNumberFormat="1" applyFont="1" applyFill="1" applyBorder="1"/>
    <xf numFmtId="3" fontId="16" fillId="0" borderId="15" xfId="200" applyNumberFormat="1" applyFont="1" applyFill="1" applyBorder="1"/>
    <xf numFmtId="3" fontId="18" fillId="0" borderId="99" xfId="200" applyNumberFormat="1" applyFont="1" applyFill="1" applyBorder="1"/>
    <xf numFmtId="3" fontId="18" fillId="0" borderId="15" xfId="200" applyNumberFormat="1" applyFont="1" applyFill="1" applyBorder="1"/>
    <xf numFmtId="0" fontId="58" fillId="0" borderId="98" xfId="199" applyFill="1" applyBorder="1" applyAlignment="1">
      <alignment wrapText="1"/>
    </xf>
    <xf numFmtId="3" fontId="16" fillId="0" borderId="144" xfId="200" applyNumberFormat="1" applyFont="1" applyFill="1" applyBorder="1"/>
    <xf numFmtId="3" fontId="16" fillId="0" borderId="99" xfId="200" applyNumberFormat="1" applyFont="1" applyFill="1" applyBorder="1"/>
    <xf numFmtId="3" fontId="16" fillId="0" borderId="29" xfId="200" applyNumberFormat="1" applyFont="1" applyFill="1" applyBorder="1"/>
    <xf numFmtId="0" fontId="18" fillId="0" borderId="11" xfId="200" applyFont="1" applyFill="1" applyBorder="1" applyAlignment="1">
      <alignment wrapText="1"/>
    </xf>
    <xf numFmtId="3" fontId="16" fillId="0" borderId="34" xfId="200" applyNumberFormat="1" applyFont="1" applyFill="1" applyBorder="1" applyAlignment="1">
      <alignment wrapText="1"/>
    </xf>
    <xf numFmtId="0" fontId="17" fillId="0" borderId="21" xfId="199" applyFont="1" applyFill="1" applyBorder="1" applyAlignment="1">
      <alignment wrapText="1"/>
    </xf>
    <xf numFmtId="0" fontId="17" fillId="0" borderId="15" xfId="200" applyFont="1" applyFill="1" applyBorder="1"/>
    <xf numFmtId="0" fontId="17" fillId="0" borderId="98" xfId="199" applyFont="1" applyFill="1" applyBorder="1" applyAlignment="1">
      <alignment wrapText="1"/>
    </xf>
    <xf numFmtId="3" fontId="17" fillId="0" borderId="111" xfId="200" applyNumberFormat="1" applyFont="1" applyFill="1" applyBorder="1"/>
    <xf numFmtId="3" fontId="17" fillId="0" borderId="15" xfId="200" applyNumberFormat="1" applyFont="1" applyFill="1" applyBorder="1"/>
    <xf numFmtId="3" fontId="55" fillId="0" borderId="15" xfId="200" applyNumberFormat="1" applyFont="1" applyFill="1" applyBorder="1" applyAlignment="1">
      <alignment horizontal="right"/>
    </xf>
    <xf numFmtId="3" fontId="18" fillId="0" borderId="98" xfId="199" applyNumberFormat="1" applyFont="1" applyFill="1" applyBorder="1" applyAlignment="1">
      <alignment wrapText="1"/>
    </xf>
    <xf numFmtId="3" fontId="16" fillId="0" borderId="98" xfId="199" applyNumberFormat="1" applyFont="1" applyFill="1" applyBorder="1" applyAlignment="1">
      <alignment wrapText="1"/>
    </xf>
    <xf numFmtId="3" fontId="47" fillId="0" borderId="15" xfId="200" applyNumberFormat="1" applyFont="1" applyFill="1" applyBorder="1" applyAlignment="1">
      <alignment horizontal="right"/>
    </xf>
    <xf numFmtId="3" fontId="58" fillId="0" borderId="98" xfId="199" applyNumberFormat="1" applyFill="1" applyBorder="1" applyAlignment="1">
      <alignment wrapText="1"/>
    </xf>
    <xf numFmtId="3" fontId="17" fillId="0" borderId="21" xfId="199" applyNumberFormat="1" applyFont="1" applyFill="1" applyBorder="1" applyAlignment="1">
      <alignment wrapText="1"/>
    </xf>
    <xf numFmtId="3" fontId="59" fillId="0" borderId="21" xfId="199" applyNumberFormat="1" applyFont="1" applyFill="1" applyBorder="1" applyAlignment="1">
      <alignment wrapText="1"/>
    </xf>
    <xf numFmtId="0" fontId="92" fillId="0" borderId="0" xfId="277" applyFont="1" applyFill="1"/>
    <xf numFmtId="0" fontId="42" fillId="0" borderId="0" xfId="172" applyFont="1" applyFill="1" applyAlignment="1">
      <alignment horizontal="center"/>
    </xf>
    <xf numFmtId="3" fontId="17" fillId="0" borderId="10" xfId="174" applyNumberFormat="1" applyFont="1" applyFill="1" applyBorder="1" applyAlignment="1">
      <alignment horizontal="center"/>
    </xf>
    <xf numFmtId="3" fontId="17" fillId="0" borderId="35" xfId="174" applyNumberFormat="1" applyFont="1" applyFill="1" applyBorder="1" applyAlignment="1">
      <alignment horizontal="center" wrapText="1"/>
    </xf>
    <xf numFmtId="3" fontId="17" fillId="0" borderId="80" xfId="174" applyNumberFormat="1" applyFont="1" applyFill="1" applyBorder="1" applyAlignment="1">
      <alignment horizontal="center" wrapText="1"/>
    </xf>
    <xf numFmtId="3" fontId="17" fillId="0" borderId="14" xfId="174" applyNumberFormat="1" applyFont="1" applyFill="1" applyBorder="1" applyAlignment="1">
      <alignment horizontal="center" wrapText="1"/>
    </xf>
    <xf numFmtId="3" fontId="17" fillId="0" borderId="35" xfId="174" applyNumberFormat="1" applyFont="1" applyFill="1" applyBorder="1" applyAlignment="1">
      <alignment horizontal="center"/>
    </xf>
    <xf numFmtId="3" fontId="17" fillId="0" borderId="80" xfId="174" applyNumberFormat="1" applyFont="1" applyFill="1" applyBorder="1" applyAlignment="1">
      <alignment horizontal="center"/>
    </xf>
    <xf numFmtId="3" fontId="17" fillId="0" borderId="14" xfId="174" applyNumberFormat="1" applyFont="1" applyFill="1" applyBorder="1" applyAlignment="1">
      <alignment horizontal="center"/>
    </xf>
    <xf numFmtId="3" fontId="17" fillId="0" borderId="10" xfId="174" applyNumberFormat="1" applyFont="1" applyFill="1" applyBorder="1" applyAlignment="1">
      <alignment horizontal="center" wrapText="1"/>
    </xf>
    <xf numFmtId="0" fontId="17" fillId="0" borderId="0" xfId="171" applyFont="1" applyFill="1" applyAlignment="1">
      <alignment horizontal="center"/>
    </xf>
    <xf numFmtId="3" fontId="46" fillId="0" borderId="10" xfId="171" applyNumberFormat="1" applyFont="1" applyFill="1" applyBorder="1" applyAlignment="1">
      <alignment horizontal="center" wrapText="1"/>
    </xf>
    <xf numFmtId="3" fontId="46" fillId="0" borderId="35" xfId="171" applyNumberFormat="1" applyFont="1" applyFill="1" applyBorder="1" applyAlignment="1">
      <alignment horizontal="center" wrapText="1"/>
    </xf>
    <xf numFmtId="3" fontId="46" fillId="0" borderId="80" xfId="171" applyNumberFormat="1" applyFont="1" applyFill="1" applyBorder="1" applyAlignment="1">
      <alignment horizontal="center" wrapText="1"/>
    </xf>
    <xf numFmtId="3" fontId="46" fillId="0" borderId="14" xfId="171" applyNumberFormat="1" applyFont="1" applyFill="1" applyBorder="1" applyAlignment="1">
      <alignment horizontal="center" wrapText="1"/>
    </xf>
    <xf numFmtId="3" fontId="46" fillId="0" borderId="10" xfId="171" applyNumberFormat="1" applyFont="1" applyFill="1" applyBorder="1" applyAlignment="1">
      <alignment horizontal="center"/>
    </xf>
    <xf numFmtId="0" fontId="46" fillId="0" borderId="87" xfId="174" applyFont="1" applyFill="1" applyBorder="1" applyAlignment="1">
      <alignment horizontal="center" wrapText="1"/>
    </xf>
    <xf numFmtId="0" fontId="46" fillId="0" borderId="40" xfId="174" applyFont="1" applyFill="1" applyBorder="1" applyAlignment="1">
      <alignment horizontal="center" wrapText="1"/>
    </xf>
    <xf numFmtId="0" fontId="46" fillId="0" borderId="87" xfId="171" applyFont="1" applyFill="1" applyBorder="1" applyAlignment="1">
      <alignment horizontal="center" wrapText="1"/>
    </xf>
    <xf numFmtId="0" fontId="46" fillId="0" borderId="40" xfId="171" applyFont="1" applyFill="1" applyBorder="1" applyAlignment="1">
      <alignment horizontal="center" wrapText="1"/>
    </xf>
    <xf numFmtId="3" fontId="46" fillId="0" borderId="35" xfId="171" applyNumberFormat="1" applyFont="1" applyFill="1" applyBorder="1" applyAlignment="1">
      <alignment horizontal="center"/>
    </xf>
    <xf numFmtId="3" fontId="46" fillId="0" borderId="80" xfId="171" applyNumberFormat="1" applyFont="1" applyFill="1" applyBorder="1" applyAlignment="1">
      <alignment horizontal="center"/>
    </xf>
    <xf numFmtId="3" fontId="46" fillId="0" borderId="14" xfId="171" applyNumberFormat="1" applyFont="1" applyFill="1" applyBorder="1" applyAlignment="1">
      <alignment horizontal="center"/>
    </xf>
    <xf numFmtId="0" fontId="17" fillId="0" borderId="24" xfId="196" applyFont="1" applyFill="1" applyBorder="1" applyAlignment="1">
      <alignment horizontal="center" vertical="center"/>
    </xf>
    <xf numFmtId="0" fontId="17" fillId="0" borderId="73" xfId="196" applyFont="1" applyFill="1" applyBorder="1" applyAlignment="1">
      <alignment horizontal="center" vertical="center" wrapText="1"/>
    </xf>
    <xf numFmtId="0" fontId="17" fillId="0" borderId="23" xfId="196" applyFont="1" applyFill="1" applyBorder="1" applyAlignment="1">
      <alignment horizontal="center" vertical="center" wrapText="1"/>
    </xf>
    <xf numFmtId="0" fontId="16" fillId="0" borderId="65" xfId="196" applyFill="1" applyBorder="1" applyAlignment="1">
      <alignment horizontal="center"/>
    </xf>
    <xf numFmtId="0" fontId="16" fillId="0" borderId="20" xfId="196" applyFill="1" applyBorder="1" applyAlignment="1">
      <alignment horizontal="center"/>
    </xf>
    <xf numFmtId="0" fontId="16" fillId="0" borderId="34" xfId="196" applyFill="1" applyBorder="1" applyAlignment="1">
      <alignment horizontal="center"/>
    </xf>
    <xf numFmtId="0" fontId="70" fillId="0" borderId="0" xfId="196" applyFont="1" applyFill="1" applyAlignment="1">
      <alignment horizontal="center" vertical="center"/>
    </xf>
    <xf numFmtId="3" fontId="61" fillId="0" borderId="35" xfId="200" applyNumberFormat="1" applyFont="1" applyFill="1" applyBorder="1" applyAlignment="1">
      <alignment horizontal="center"/>
    </xf>
    <xf numFmtId="3" fontId="61" fillId="0" borderId="14" xfId="200" applyNumberFormat="1" applyFont="1" applyFill="1" applyBorder="1" applyAlignment="1">
      <alignment horizontal="center"/>
    </xf>
    <xf numFmtId="3" fontId="63" fillId="0" borderId="88" xfId="200" applyNumberFormat="1" applyFont="1" applyFill="1" applyBorder="1" applyAlignment="1">
      <alignment horizontal="center" vertical="center" wrapText="1"/>
    </xf>
    <xf numFmtId="3" fontId="63" fillId="0" borderId="96" xfId="200" applyNumberFormat="1" applyFont="1" applyFill="1" applyBorder="1" applyAlignment="1">
      <alignment horizontal="center" vertical="center" wrapText="1"/>
    </xf>
    <xf numFmtId="3" fontId="65" fillId="0" borderId="60" xfId="200" applyNumberFormat="1" applyFont="1" applyFill="1" applyBorder="1" applyAlignment="1">
      <alignment horizontal="center"/>
    </xf>
    <xf numFmtId="3" fontId="65" fillId="0" borderId="61" xfId="200" applyNumberFormat="1" applyFont="1" applyFill="1" applyBorder="1" applyAlignment="1">
      <alignment horizontal="center"/>
    </xf>
    <xf numFmtId="3" fontId="63" fillId="0" borderId="100" xfId="200" applyNumberFormat="1" applyFont="1" applyFill="1" applyBorder="1" applyAlignment="1">
      <alignment horizontal="center" vertical="center" wrapText="1"/>
    </xf>
    <xf numFmtId="3" fontId="63" fillId="0" borderId="41" xfId="200" applyNumberFormat="1" applyFont="1" applyFill="1" applyBorder="1" applyAlignment="1">
      <alignment horizontal="center" vertical="center" wrapText="1"/>
    </xf>
    <xf numFmtId="0" fontId="17" fillId="0" borderId="0" xfId="196" applyFont="1" applyFill="1" applyAlignment="1">
      <alignment horizontal="center"/>
    </xf>
    <xf numFmtId="3" fontId="77" fillId="0" borderId="88" xfId="274" applyNumberFormat="1" applyFont="1" applyFill="1" applyBorder="1" applyAlignment="1">
      <alignment horizontal="right"/>
    </xf>
    <xf numFmtId="3" fontId="77" fillId="0" borderId="101" xfId="274" applyNumberFormat="1" applyFont="1" applyFill="1" applyBorder="1" applyAlignment="1">
      <alignment horizontal="right"/>
    </xf>
    <xf numFmtId="3" fontId="77" fillId="0" borderId="96" xfId="274" applyNumberFormat="1" applyFont="1" applyFill="1" applyBorder="1" applyAlignment="1">
      <alignment horizontal="right"/>
    </xf>
    <xf numFmtId="3" fontId="17" fillId="0" borderId="0" xfId="0" applyNumberFormat="1" applyFont="1" applyFill="1" applyAlignment="1">
      <alignment horizontal="center"/>
    </xf>
    <xf numFmtId="0" fontId="67" fillId="0" borderId="0" xfId="157" applyFont="1" applyFill="1" applyAlignment="1">
      <alignment horizontal="center" wrapText="1"/>
    </xf>
    <xf numFmtId="0" fontId="42" fillId="0" borderId="0" xfId="196" applyFont="1" applyFill="1" applyAlignment="1">
      <alignment horizontal="center" wrapText="1"/>
    </xf>
    <xf numFmtId="0" fontId="16" fillId="0" borderId="0" xfId="0" applyFont="1" applyFill="1" applyAlignment="1">
      <alignment wrapText="1"/>
    </xf>
    <xf numFmtId="0" fontId="42" fillId="0" borderId="129" xfId="195" applyFont="1" applyFill="1" applyBorder="1" applyAlignment="1">
      <alignment horizontal="center" wrapText="1"/>
    </xf>
    <xf numFmtId="0" fontId="42" fillId="0" borderId="108" xfId="195" applyFont="1" applyFill="1" applyBorder="1" applyAlignment="1">
      <alignment horizontal="center" wrapText="1"/>
    </xf>
    <xf numFmtId="0" fontId="42" fillId="0" borderId="127" xfId="196" applyFont="1" applyFill="1" applyBorder="1" applyAlignment="1">
      <alignment horizontal="center" wrapText="1"/>
    </xf>
    <xf numFmtId="0" fontId="42" fillId="0" borderId="20" xfId="196" applyFont="1" applyFill="1" applyBorder="1" applyAlignment="1">
      <alignment horizontal="center" wrapText="1"/>
    </xf>
    <xf numFmtId="0" fontId="42" fillId="0" borderId="33" xfId="196" applyFont="1" applyFill="1" applyBorder="1" applyAlignment="1">
      <alignment horizontal="center" wrapText="1"/>
    </xf>
    <xf numFmtId="0" fontId="42" fillId="0" borderId="0" xfId="206" applyFont="1" applyFill="1" applyAlignment="1">
      <alignment horizontal="center" wrapText="1"/>
    </xf>
    <xf numFmtId="0" fontId="70" fillId="0" borderId="0" xfId="277" applyFont="1" applyFill="1" applyAlignment="1">
      <alignment horizontal="center" wrapText="1"/>
    </xf>
    <xf numFmtId="3" fontId="46" fillId="0" borderId="85" xfId="277" applyNumberFormat="1" applyFont="1" applyFill="1" applyBorder="1" applyAlignment="1">
      <alignment horizontal="left" wrapText="1"/>
    </xf>
    <xf numFmtId="3" fontId="46" fillId="0" borderId="34" xfId="277" applyNumberFormat="1" applyFont="1" applyFill="1" applyBorder="1" applyAlignment="1">
      <alignment horizontal="left" wrapText="1"/>
    </xf>
    <xf numFmtId="3" fontId="46" fillId="0" borderId="85" xfId="277" applyNumberFormat="1" applyFont="1" applyFill="1" applyBorder="1" applyAlignment="1">
      <alignment horizontal="left"/>
    </xf>
    <xf numFmtId="3" fontId="46" fillId="0" borderId="34" xfId="277" applyNumberFormat="1" applyFont="1" applyFill="1" applyBorder="1" applyAlignment="1">
      <alignment horizontal="left"/>
    </xf>
    <xf numFmtId="12" fontId="46" fillId="0" borderId="119" xfId="277" applyNumberFormat="1" applyFont="1" applyFill="1" applyBorder="1" applyAlignment="1">
      <alignment horizontal="left" wrapText="1"/>
    </xf>
    <xf numFmtId="12" fontId="46" fillId="0" borderId="143" xfId="277" applyNumberFormat="1" applyFont="1" applyFill="1" applyBorder="1" applyAlignment="1">
      <alignment horizontal="left" wrapText="1"/>
    </xf>
    <xf numFmtId="3" fontId="17" fillId="0" borderId="10" xfId="173" applyNumberFormat="1" applyFont="1" applyFill="1" applyBorder="1" applyAlignment="1">
      <alignment horizontal="center" wrapText="1"/>
    </xf>
    <xf numFmtId="3" fontId="49" fillId="0" borderId="10" xfId="173" applyNumberFormat="1" applyFont="1" applyFill="1" applyBorder="1" applyAlignment="1">
      <alignment horizontal="center" wrapText="1"/>
    </xf>
    <xf numFmtId="3" fontId="17" fillId="0" borderId="0" xfId="173" applyNumberFormat="1" applyFont="1" applyFill="1" applyAlignment="1">
      <alignment horizontal="center" wrapText="1"/>
    </xf>
    <xf numFmtId="0" fontId="49" fillId="0" borderId="87" xfId="173" applyFont="1" applyFill="1" applyBorder="1" applyAlignment="1">
      <alignment horizontal="center" wrapText="1"/>
    </xf>
    <xf numFmtId="0" fontId="49" fillId="0" borderId="83" xfId="173" applyFont="1" applyFill="1" applyBorder="1" applyAlignment="1">
      <alignment horizontal="center" wrapText="1"/>
    </xf>
    <xf numFmtId="0" fontId="49" fillId="0" borderId="40" xfId="173" applyFont="1" applyFill="1" applyBorder="1" applyAlignment="1">
      <alignment horizontal="center" wrapText="1"/>
    </xf>
    <xf numFmtId="0" fontId="67" fillId="0" borderId="0" xfId="205" applyFont="1" applyFill="1" applyAlignment="1">
      <alignment horizontal="center"/>
    </xf>
    <xf numFmtId="0" fontId="67" fillId="0" borderId="0" xfId="257" applyFont="1" applyFill="1" applyAlignment="1">
      <alignment horizontal="center"/>
    </xf>
    <xf numFmtId="0" fontId="71" fillId="0" borderId="60" xfId="273" applyFont="1" applyFill="1" applyBorder="1" applyAlignment="1">
      <alignment horizontal="center"/>
    </xf>
    <xf numFmtId="0" fontId="71" fillId="0" borderId="68" xfId="273" applyFont="1" applyFill="1" applyBorder="1" applyAlignment="1">
      <alignment horizontal="center"/>
    </xf>
    <xf numFmtId="0" fontId="71" fillId="0" borderId="61" xfId="273" applyFont="1" applyFill="1" applyBorder="1" applyAlignment="1">
      <alignment horizontal="center"/>
    </xf>
    <xf numFmtId="0" fontId="72" fillId="0" borderId="0" xfId="273" applyFont="1" applyFill="1" applyAlignment="1">
      <alignment horizontal="left" wrapText="1"/>
    </xf>
    <xf numFmtId="0" fontId="71" fillId="0" borderId="129" xfId="273" applyFont="1" applyFill="1" applyBorder="1" applyAlignment="1">
      <alignment horizontal="center" vertical="center"/>
    </xf>
    <xf numFmtId="0" fontId="72" fillId="0" borderId="140" xfId="273" applyFont="1" applyFill="1" applyBorder="1" applyAlignment="1">
      <alignment vertical="center"/>
    </xf>
    <xf numFmtId="0" fontId="71" fillId="0" borderId="88" xfId="273" applyFont="1" applyFill="1" applyBorder="1" applyAlignment="1">
      <alignment horizontal="center" vertical="center" wrapText="1"/>
    </xf>
    <xf numFmtId="0" fontId="72" fillId="0" borderId="96" xfId="273" applyFont="1" applyFill="1" applyBorder="1" applyAlignment="1">
      <alignment vertical="center" wrapText="1"/>
    </xf>
    <xf numFmtId="0" fontId="71" fillId="0" borderId="96" xfId="273" applyFont="1" applyFill="1" applyBorder="1" applyAlignment="1">
      <alignment horizontal="center" vertical="center" wrapText="1"/>
    </xf>
    <xf numFmtId="0" fontId="71" fillId="0" borderId="0" xfId="275" applyFont="1" applyFill="1" applyAlignment="1">
      <alignment horizontal="center" wrapText="1"/>
    </xf>
    <xf numFmtId="0" fontId="42" fillId="0" borderId="85" xfId="260" applyFont="1" applyFill="1" applyBorder="1" applyAlignment="1">
      <alignment horizontal="left"/>
    </xf>
    <xf numFmtId="0" fontId="42" fillId="0" borderId="20" xfId="260" applyFont="1" applyFill="1" applyBorder="1" applyAlignment="1">
      <alignment horizontal="left"/>
    </xf>
    <xf numFmtId="0" fontId="17" fillId="0" borderId="0" xfId="276" applyFont="1" applyAlignment="1">
      <alignment horizontal="center" wrapText="1"/>
    </xf>
    <xf numFmtId="3" fontId="71" fillId="0" borderId="0" xfId="264" applyNumberFormat="1" applyFont="1" applyFill="1" applyAlignment="1">
      <alignment horizontal="center" wrapText="1"/>
    </xf>
    <xf numFmtId="3" fontId="72" fillId="0" borderId="36" xfId="264" applyNumberFormat="1" applyFont="1" applyFill="1" applyBorder="1" applyAlignment="1">
      <alignment horizontal="right"/>
    </xf>
    <xf numFmtId="3" fontId="72" fillId="0" borderId="131" xfId="264" applyNumberFormat="1" applyFont="1" applyFill="1" applyBorder="1" applyAlignment="1">
      <alignment horizontal="right"/>
    </xf>
    <xf numFmtId="0" fontId="71" fillId="0" borderId="133" xfId="199" applyFont="1" applyFill="1" applyBorder="1" applyAlignment="1">
      <alignment wrapText="1"/>
    </xf>
    <xf numFmtId="3" fontId="71" fillId="0" borderId="10" xfId="264" applyNumberFormat="1" applyFont="1" applyFill="1" applyBorder="1" applyAlignment="1">
      <alignment horizontal="right"/>
    </xf>
    <xf numFmtId="3" fontId="71" fillId="0" borderId="134" xfId="264" applyNumberFormat="1" applyFont="1" applyFill="1" applyBorder="1" applyAlignment="1">
      <alignment horizontal="right"/>
    </xf>
    <xf numFmtId="0" fontId="72" fillId="0" borderId="57" xfId="199" applyFont="1" applyFill="1" applyBorder="1" applyAlignment="1">
      <alignment wrapText="1"/>
    </xf>
    <xf numFmtId="0" fontId="72" fillId="0" borderId="57" xfId="199" applyFont="1" applyFill="1" applyBorder="1" applyAlignment="1">
      <alignment horizontal="left" wrapText="1"/>
    </xf>
    <xf numFmtId="3" fontId="71" fillId="0" borderId="133" xfId="264" applyNumberFormat="1" applyFont="1" applyFill="1" applyBorder="1" applyAlignment="1">
      <alignment horizontal="left"/>
    </xf>
    <xf numFmtId="3" fontId="71" fillId="0" borderId="136" xfId="264" applyNumberFormat="1" applyFont="1" applyFill="1" applyBorder="1" applyAlignment="1">
      <alignment horizontal="left"/>
    </xf>
    <xf numFmtId="3" fontId="71" fillId="0" borderId="79" xfId="264" applyNumberFormat="1" applyFont="1" applyFill="1" applyBorder="1" applyAlignment="1">
      <alignment horizontal="right"/>
    </xf>
    <xf numFmtId="3" fontId="71" fillId="0" borderId="137" xfId="264" applyNumberFormat="1" applyFont="1" applyFill="1" applyBorder="1" applyAlignment="1">
      <alignment horizontal="right"/>
    </xf>
    <xf numFmtId="3" fontId="75" fillId="0" borderId="11" xfId="264" applyNumberFormat="1" applyFont="1" applyFill="1" applyBorder="1" applyAlignment="1">
      <alignment horizontal="left"/>
    </xf>
    <xf numFmtId="3" fontId="75" fillId="0" borderId="11" xfId="264" applyNumberFormat="1" applyFont="1" applyFill="1" applyBorder="1" applyAlignment="1">
      <alignment horizontal="right"/>
    </xf>
    <xf numFmtId="0" fontId="42" fillId="0" borderId="0" xfId="260" applyFont="1" applyFill="1" applyAlignment="1">
      <alignment horizontal="center" wrapText="1"/>
    </xf>
  </cellXfs>
  <cellStyles count="279">
    <cellStyle name="20% - 1. jelölőszín" xfId="1" builtinId="30" customBuiltin="1"/>
    <cellStyle name="20% - 1. jelölőszín 2" xfId="2" xr:uid="{00000000-0005-0000-0000-000003000000}"/>
    <cellStyle name="20% - 1. jelölőszín 3" xfId="3" xr:uid="{00000000-0005-0000-0000-000004000000}"/>
    <cellStyle name="20% - 1. jelölőszín 4" xfId="209" xr:uid="{00000000-0005-0000-0000-000005000000}"/>
    <cellStyle name="20% - 2. jelölőszín" xfId="4" builtinId="34" customBuiltin="1"/>
    <cellStyle name="20% - 2. jelölőszín 2" xfId="5" xr:uid="{00000000-0005-0000-0000-000007000000}"/>
    <cellStyle name="20% - 2. jelölőszín 3" xfId="6" xr:uid="{00000000-0005-0000-0000-000008000000}"/>
    <cellStyle name="20% - 2. jelölőszín 4" xfId="210" xr:uid="{00000000-0005-0000-0000-000009000000}"/>
    <cellStyle name="20% - 3. jelölőszín" xfId="7" builtinId="38" customBuiltin="1"/>
    <cellStyle name="20% - 3. jelölőszín 2" xfId="8" xr:uid="{00000000-0005-0000-0000-00000B000000}"/>
    <cellStyle name="20% - 3. jelölőszín 3" xfId="9" xr:uid="{00000000-0005-0000-0000-00000C000000}"/>
    <cellStyle name="20% - 3. jelölőszín 4" xfId="211" xr:uid="{00000000-0005-0000-0000-00000D000000}"/>
    <cellStyle name="20% - 4. jelölőszín" xfId="10" builtinId="42" customBuiltin="1"/>
    <cellStyle name="20% - 4. jelölőszín 2" xfId="11" xr:uid="{00000000-0005-0000-0000-00000F000000}"/>
    <cellStyle name="20% - 4. jelölőszín 3" xfId="12" xr:uid="{00000000-0005-0000-0000-000010000000}"/>
    <cellStyle name="20% - 4. jelölőszín 4" xfId="212" xr:uid="{00000000-0005-0000-0000-000011000000}"/>
    <cellStyle name="20% - 5. jelölőszín" xfId="13" builtinId="46" customBuiltin="1"/>
    <cellStyle name="20% - 5. jelölőszín 2" xfId="14" xr:uid="{00000000-0005-0000-0000-000013000000}"/>
    <cellStyle name="20% - 5. jelölőszín 3" xfId="15" xr:uid="{00000000-0005-0000-0000-000014000000}"/>
    <cellStyle name="20% - 5. jelölőszín 4" xfId="213" xr:uid="{00000000-0005-0000-0000-000015000000}"/>
    <cellStyle name="20% - 6. jelölőszín" xfId="16" builtinId="50" customBuiltin="1"/>
    <cellStyle name="20% - 6. jelölőszín 2" xfId="17" xr:uid="{00000000-0005-0000-0000-000017000000}"/>
    <cellStyle name="20% - 6. jelölőszín 3" xfId="18" xr:uid="{00000000-0005-0000-0000-000018000000}"/>
    <cellStyle name="20% - 6. jelölőszín 4" xfId="214" xr:uid="{00000000-0005-0000-0000-000019000000}"/>
    <cellStyle name="20% - Accent1" xfId="19" xr:uid="{00000000-0005-0000-0000-00001A000000}"/>
    <cellStyle name="20% - Accent2" xfId="20" xr:uid="{00000000-0005-0000-0000-00001B000000}"/>
    <cellStyle name="20% - Accent3" xfId="21" xr:uid="{00000000-0005-0000-0000-00001C000000}"/>
    <cellStyle name="20% - Accent4" xfId="22" xr:uid="{00000000-0005-0000-0000-00001D000000}"/>
    <cellStyle name="20% - Accent5" xfId="23" xr:uid="{00000000-0005-0000-0000-00001E000000}"/>
    <cellStyle name="20% - Accent6" xfId="24" xr:uid="{00000000-0005-0000-0000-00001F000000}"/>
    <cellStyle name="40% - 1. jelölőszín" xfId="25" builtinId="31" customBuiltin="1"/>
    <cellStyle name="40% - 1. jelölőszín 2" xfId="26" xr:uid="{00000000-0005-0000-0000-000023000000}"/>
    <cellStyle name="40% - 1. jelölőszín 3" xfId="27" xr:uid="{00000000-0005-0000-0000-000024000000}"/>
    <cellStyle name="40% - 1. jelölőszín 4" xfId="215" xr:uid="{00000000-0005-0000-0000-000025000000}"/>
    <cellStyle name="40% - 2. jelölőszín" xfId="28" builtinId="35" customBuiltin="1"/>
    <cellStyle name="40% - 2. jelölőszín 2" xfId="29" xr:uid="{00000000-0005-0000-0000-000027000000}"/>
    <cellStyle name="40% - 2. jelölőszín 3" xfId="30" xr:uid="{00000000-0005-0000-0000-000028000000}"/>
    <cellStyle name="40% - 2. jelölőszín 4" xfId="216" xr:uid="{00000000-0005-0000-0000-000029000000}"/>
    <cellStyle name="40% - 3. jelölőszín" xfId="31" builtinId="39" customBuiltin="1"/>
    <cellStyle name="40% - 3. jelölőszín 2" xfId="32" xr:uid="{00000000-0005-0000-0000-00002B000000}"/>
    <cellStyle name="40% - 3. jelölőszín 3" xfId="33" xr:uid="{00000000-0005-0000-0000-00002C000000}"/>
    <cellStyle name="40% - 3. jelölőszín 4" xfId="217" xr:uid="{00000000-0005-0000-0000-00002D000000}"/>
    <cellStyle name="40% - 4. jelölőszín" xfId="34" builtinId="43" customBuiltin="1"/>
    <cellStyle name="40% - 4. jelölőszín 2" xfId="35" xr:uid="{00000000-0005-0000-0000-00002F000000}"/>
    <cellStyle name="40% - 4. jelölőszín 3" xfId="36" xr:uid="{00000000-0005-0000-0000-000030000000}"/>
    <cellStyle name="40% - 4. jelölőszín 4" xfId="218" xr:uid="{00000000-0005-0000-0000-000031000000}"/>
    <cellStyle name="40% - 5. jelölőszín" xfId="37" builtinId="47" customBuiltin="1"/>
    <cellStyle name="40% - 5. jelölőszín 2" xfId="38" xr:uid="{00000000-0005-0000-0000-000033000000}"/>
    <cellStyle name="40% - 5. jelölőszín 3" xfId="39" xr:uid="{00000000-0005-0000-0000-000034000000}"/>
    <cellStyle name="40% - 5. jelölőszín 4" xfId="219" xr:uid="{00000000-0005-0000-0000-000035000000}"/>
    <cellStyle name="40% - 6. jelölőszín" xfId="40" builtinId="51" customBuiltin="1"/>
    <cellStyle name="40% - 6. jelölőszín 2" xfId="41" xr:uid="{00000000-0005-0000-0000-000037000000}"/>
    <cellStyle name="40% - 6. jelölőszín 3" xfId="42" xr:uid="{00000000-0005-0000-0000-000038000000}"/>
    <cellStyle name="40% - 6. jelölőszín 4" xfId="220" xr:uid="{00000000-0005-0000-0000-000039000000}"/>
    <cellStyle name="40% - Accent1" xfId="43" xr:uid="{00000000-0005-0000-0000-00003A000000}"/>
    <cellStyle name="40% - Accent2" xfId="44" xr:uid="{00000000-0005-0000-0000-00003B000000}"/>
    <cellStyle name="40% - Accent3" xfId="45" xr:uid="{00000000-0005-0000-0000-00003C000000}"/>
    <cellStyle name="40% - Accent4" xfId="46" xr:uid="{00000000-0005-0000-0000-00003D000000}"/>
    <cellStyle name="40% - Accent5" xfId="47" xr:uid="{00000000-0005-0000-0000-00003E000000}"/>
    <cellStyle name="40% - Accent6" xfId="48" xr:uid="{00000000-0005-0000-0000-00003F000000}"/>
    <cellStyle name="60% - 1. jelölőszín" xfId="49" builtinId="32" customBuiltin="1"/>
    <cellStyle name="60% - 1. jelölőszín 2" xfId="50" xr:uid="{00000000-0005-0000-0000-000043000000}"/>
    <cellStyle name="60% - 1. jelölőszín 3" xfId="51" xr:uid="{00000000-0005-0000-0000-000044000000}"/>
    <cellStyle name="60% - 1. jelölőszín 4" xfId="221" xr:uid="{00000000-0005-0000-0000-000045000000}"/>
    <cellStyle name="60% - 2. jelölőszín" xfId="52" builtinId="36" customBuiltin="1"/>
    <cellStyle name="60% - 2. jelölőszín 2" xfId="53" xr:uid="{00000000-0005-0000-0000-000047000000}"/>
    <cellStyle name="60% - 2. jelölőszín 3" xfId="54" xr:uid="{00000000-0005-0000-0000-000048000000}"/>
    <cellStyle name="60% - 2. jelölőszín 4" xfId="222" xr:uid="{00000000-0005-0000-0000-000049000000}"/>
    <cellStyle name="60% - 3. jelölőszín" xfId="55" builtinId="40" customBuiltin="1"/>
    <cellStyle name="60% - 3. jelölőszín 2" xfId="56" xr:uid="{00000000-0005-0000-0000-00004B000000}"/>
    <cellStyle name="60% - 3. jelölőszín 3" xfId="57" xr:uid="{00000000-0005-0000-0000-00004C000000}"/>
    <cellStyle name="60% - 3. jelölőszín 4" xfId="223" xr:uid="{00000000-0005-0000-0000-00004D000000}"/>
    <cellStyle name="60% - 4. jelölőszín" xfId="58" builtinId="44" customBuiltin="1"/>
    <cellStyle name="60% - 4. jelölőszín 2" xfId="59" xr:uid="{00000000-0005-0000-0000-00004F000000}"/>
    <cellStyle name="60% - 4. jelölőszín 3" xfId="60" xr:uid="{00000000-0005-0000-0000-000050000000}"/>
    <cellStyle name="60% - 4. jelölőszín 4" xfId="224" xr:uid="{00000000-0005-0000-0000-000051000000}"/>
    <cellStyle name="60% - 5. jelölőszín" xfId="61" builtinId="48" customBuiltin="1"/>
    <cellStyle name="60% - 5. jelölőszín 2" xfId="62" xr:uid="{00000000-0005-0000-0000-000053000000}"/>
    <cellStyle name="60% - 5. jelölőszín 3" xfId="63" xr:uid="{00000000-0005-0000-0000-000054000000}"/>
    <cellStyle name="60% - 5. jelölőszín 4" xfId="225" xr:uid="{00000000-0005-0000-0000-000055000000}"/>
    <cellStyle name="60% - 6. jelölőszín" xfId="64" builtinId="52" customBuiltin="1"/>
    <cellStyle name="60% - 6. jelölőszín 2" xfId="65" xr:uid="{00000000-0005-0000-0000-000057000000}"/>
    <cellStyle name="60% - 6. jelölőszín 3" xfId="66" xr:uid="{00000000-0005-0000-0000-000058000000}"/>
    <cellStyle name="60% - 6. jelölőszín 4" xfId="226" xr:uid="{00000000-0005-0000-0000-000059000000}"/>
    <cellStyle name="60% - Accent1" xfId="67" xr:uid="{00000000-0005-0000-0000-00005A000000}"/>
    <cellStyle name="60% - Accent2" xfId="68" xr:uid="{00000000-0005-0000-0000-00005B000000}"/>
    <cellStyle name="60% - Accent3" xfId="69" xr:uid="{00000000-0005-0000-0000-00005C000000}"/>
    <cellStyle name="60% - Accent4" xfId="70" xr:uid="{00000000-0005-0000-0000-00005D000000}"/>
    <cellStyle name="60% - Accent5" xfId="71" xr:uid="{00000000-0005-0000-0000-00005E000000}"/>
    <cellStyle name="60% - Accent6" xfId="72" xr:uid="{00000000-0005-0000-0000-00005F000000}"/>
    <cellStyle name="Accent1" xfId="73" xr:uid="{00000000-0005-0000-0000-000060000000}"/>
    <cellStyle name="Accent2" xfId="74" xr:uid="{00000000-0005-0000-0000-000061000000}"/>
    <cellStyle name="Accent3" xfId="75" xr:uid="{00000000-0005-0000-0000-000062000000}"/>
    <cellStyle name="Accent4" xfId="76" xr:uid="{00000000-0005-0000-0000-000063000000}"/>
    <cellStyle name="Accent5" xfId="77" xr:uid="{00000000-0005-0000-0000-000064000000}"/>
    <cellStyle name="Accent6" xfId="78" xr:uid="{00000000-0005-0000-0000-000065000000}"/>
    <cellStyle name="Bad" xfId="79" xr:uid="{00000000-0005-0000-0000-000066000000}"/>
    <cellStyle name="Bevitel" xfId="80" builtinId="20" customBuiltin="1"/>
    <cellStyle name="Bevitel 2" xfId="81" xr:uid="{00000000-0005-0000-0000-000068000000}"/>
    <cellStyle name="Bevitel 3" xfId="82" xr:uid="{00000000-0005-0000-0000-000069000000}"/>
    <cellStyle name="Bevitel 4" xfId="227" xr:uid="{00000000-0005-0000-0000-00006A000000}"/>
    <cellStyle name="Calculation" xfId="83" xr:uid="{00000000-0005-0000-0000-00006B000000}"/>
    <cellStyle name="Check Cell" xfId="84" xr:uid="{00000000-0005-0000-0000-00006C000000}"/>
    <cellStyle name="Cím" xfId="85" builtinId="15" customBuiltin="1"/>
    <cellStyle name="Cím 2" xfId="86" xr:uid="{00000000-0005-0000-0000-00006E000000}"/>
    <cellStyle name="Cím 3" xfId="87" xr:uid="{00000000-0005-0000-0000-00006F000000}"/>
    <cellStyle name="Cím 4" xfId="228" xr:uid="{00000000-0005-0000-0000-000070000000}"/>
    <cellStyle name="Címsor 1" xfId="88" builtinId="16" customBuiltin="1"/>
    <cellStyle name="Címsor 1 2" xfId="89" xr:uid="{00000000-0005-0000-0000-000072000000}"/>
    <cellStyle name="Címsor 1 3" xfId="90" xr:uid="{00000000-0005-0000-0000-000073000000}"/>
    <cellStyle name="Címsor 1 4" xfId="229" xr:uid="{00000000-0005-0000-0000-000074000000}"/>
    <cellStyle name="Címsor 2" xfId="91" builtinId="17" customBuiltin="1"/>
    <cellStyle name="Címsor 2 2" xfId="92" xr:uid="{00000000-0005-0000-0000-000076000000}"/>
    <cellStyle name="Címsor 2 3" xfId="93" xr:uid="{00000000-0005-0000-0000-000077000000}"/>
    <cellStyle name="Címsor 2 4" xfId="230" xr:uid="{00000000-0005-0000-0000-000078000000}"/>
    <cellStyle name="Címsor 3" xfId="94" builtinId="18" customBuiltin="1"/>
    <cellStyle name="Címsor 3 2" xfId="95" xr:uid="{00000000-0005-0000-0000-00007A000000}"/>
    <cellStyle name="Címsor 3 3" xfId="96" xr:uid="{00000000-0005-0000-0000-00007B000000}"/>
    <cellStyle name="Címsor 3 4" xfId="231" xr:uid="{00000000-0005-0000-0000-00007C000000}"/>
    <cellStyle name="Címsor 4" xfId="97" builtinId="19" customBuiltin="1"/>
    <cellStyle name="Címsor 4 2" xfId="98" xr:uid="{00000000-0005-0000-0000-00007E000000}"/>
    <cellStyle name="Címsor 4 3" xfId="99" xr:uid="{00000000-0005-0000-0000-00007F000000}"/>
    <cellStyle name="Címsor 4 4" xfId="232" xr:uid="{00000000-0005-0000-0000-000080000000}"/>
    <cellStyle name="Ellenőrzőcella" xfId="100" builtinId="23" customBuiltin="1"/>
    <cellStyle name="Ellenőrzőcella 2" xfId="101" xr:uid="{00000000-0005-0000-0000-000082000000}"/>
    <cellStyle name="Ellenőrzőcella 3" xfId="102" xr:uid="{00000000-0005-0000-0000-000083000000}"/>
    <cellStyle name="Ellenőrzőcella 4" xfId="233" xr:uid="{00000000-0005-0000-0000-000084000000}"/>
    <cellStyle name="Explanatory Text" xfId="103" xr:uid="{00000000-0005-0000-0000-000085000000}"/>
    <cellStyle name="Ezres" xfId="254" builtinId="3"/>
    <cellStyle name="Ezres 2" xfId="104" xr:uid="{00000000-0005-0000-0000-000087000000}"/>
    <cellStyle name="Ezres 2 2" xfId="197" xr:uid="{00000000-0005-0000-0000-000088000000}"/>
    <cellStyle name="Ezres 3" xfId="105" xr:uid="{00000000-0005-0000-0000-000089000000}"/>
    <cellStyle name="Ezres 3 2" xfId="201" xr:uid="{00000000-0005-0000-0000-00008A000000}"/>
    <cellStyle name="Ezres 4" xfId="261" xr:uid="{00000000-0005-0000-0000-00008B000000}"/>
    <cellStyle name="Figyelmeztetés" xfId="106" builtinId="11" customBuiltin="1"/>
    <cellStyle name="Figyelmeztetés 2" xfId="107" xr:uid="{00000000-0005-0000-0000-00008D000000}"/>
    <cellStyle name="Figyelmeztetés 3" xfId="108" xr:uid="{00000000-0005-0000-0000-00008E000000}"/>
    <cellStyle name="Figyelmeztetés 4" xfId="234" xr:uid="{00000000-0005-0000-0000-00008F000000}"/>
    <cellStyle name="Good" xfId="109" xr:uid="{00000000-0005-0000-0000-000090000000}"/>
    <cellStyle name="Heading 1" xfId="110" xr:uid="{00000000-0005-0000-0000-000091000000}"/>
    <cellStyle name="Heading 2" xfId="111" xr:uid="{00000000-0005-0000-0000-000092000000}"/>
    <cellStyle name="Heading 3" xfId="112" xr:uid="{00000000-0005-0000-0000-000093000000}"/>
    <cellStyle name="Heading 4" xfId="113" xr:uid="{00000000-0005-0000-0000-000094000000}"/>
    <cellStyle name="Hivatkozott cella" xfId="114" builtinId="24" customBuiltin="1"/>
    <cellStyle name="Hivatkozott cella 2" xfId="115" xr:uid="{00000000-0005-0000-0000-000096000000}"/>
    <cellStyle name="Hivatkozott cella 3" xfId="116" xr:uid="{00000000-0005-0000-0000-000097000000}"/>
    <cellStyle name="Hivatkozott cella 4" xfId="235" xr:uid="{00000000-0005-0000-0000-000098000000}"/>
    <cellStyle name="Input" xfId="117" xr:uid="{00000000-0005-0000-0000-000099000000}"/>
    <cellStyle name="Jegyzet" xfId="118" builtinId="10" customBuiltin="1"/>
    <cellStyle name="Jegyzet 2" xfId="119" xr:uid="{00000000-0005-0000-0000-00009B000000}"/>
    <cellStyle name="Jegyzet 3" xfId="120" xr:uid="{00000000-0005-0000-0000-00009C000000}"/>
    <cellStyle name="Jegyzet 4" xfId="121" xr:uid="{00000000-0005-0000-0000-00009D000000}"/>
    <cellStyle name="Jegyzet 5" xfId="236" xr:uid="{00000000-0005-0000-0000-00009E000000}"/>
    <cellStyle name="Jelölőszín (1) 2" xfId="123" xr:uid="{00000000-0005-0000-0000-00009F000000}"/>
    <cellStyle name="Jelölőszín (1) 3" xfId="124" xr:uid="{00000000-0005-0000-0000-0000A0000000}"/>
    <cellStyle name="Jelölőszín (1) 4" xfId="237" xr:uid="{00000000-0005-0000-0000-0000A1000000}"/>
    <cellStyle name="Jelölőszín (2) 2" xfId="126" xr:uid="{00000000-0005-0000-0000-0000A2000000}"/>
    <cellStyle name="Jelölőszín (2) 3" xfId="127" xr:uid="{00000000-0005-0000-0000-0000A3000000}"/>
    <cellStyle name="Jelölőszín (2) 4" xfId="238" xr:uid="{00000000-0005-0000-0000-0000A4000000}"/>
    <cellStyle name="Jelölőszín (3) 2" xfId="129" xr:uid="{00000000-0005-0000-0000-0000A5000000}"/>
    <cellStyle name="Jelölőszín (3) 3" xfId="130" xr:uid="{00000000-0005-0000-0000-0000A6000000}"/>
    <cellStyle name="Jelölőszín (3) 4" xfId="239" xr:uid="{00000000-0005-0000-0000-0000A7000000}"/>
    <cellStyle name="Jelölőszín (4) 2" xfId="132" xr:uid="{00000000-0005-0000-0000-0000A8000000}"/>
    <cellStyle name="Jelölőszín (4) 3" xfId="133" xr:uid="{00000000-0005-0000-0000-0000A9000000}"/>
    <cellStyle name="Jelölőszín (4) 4" xfId="240" xr:uid="{00000000-0005-0000-0000-0000AA000000}"/>
    <cellStyle name="Jelölőszín (5) 2" xfId="135" xr:uid="{00000000-0005-0000-0000-0000AB000000}"/>
    <cellStyle name="Jelölőszín (5) 3" xfId="136" xr:uid="{00000000-0005-0000-0000-0000AC000000}"/>
    <cellStyle name="Jelölőszín (5) 4" xfId="241" xr:uid="{00000000-0005-0000-0000-0000AD000000}"/>
    <cellStyle name="Jelölőszín (6) 2" xfId="138" xr:uid="{00000000-0005-0000-0000-0000AE000000}"/>
    <cellStyle name="Jelölőszín (6) 3" xfId="139" xr:uid="{00000000-0005-0000-0000-0000AF000000}"/>
    <cellStyle name="Jelölőszín (6) 4" xfId="242" xr:uid="{00000000-0005-0000-0000-0000B0000000}"/>
    <cellStyle name="Jelölőszín 1" xfId="122" builtinId="29" customBuiltin="1"/>
    <cellStyle name="Jelölőszín 2" xfId="125" builtinId="33" customBuiltin="1"/>
    <cellStyle name="Jelölőszín 3" xfId="128" builtinId="37" customBuiltin="1"/>
    <cellStyle name="Jelölőszín 4" xfId="131" builtinId="41" customBuiltin="1"/>
    <cellStyle name="Jelölőszín 5" xfId="134" builtinId="45" customBuiltin="1"/>
    <cellStyle name="Jelölőszín 6" xfId="137" builtinId="49" customBuiltin="1"/>
    <cellStyle name="Jó" xfId="140" builtinId="26" customBuiltin="1"/>
    <cellStyle name="Jó 2" xfId="141" xr:uid="{00000000-0005-0000-0000-0000B2000000}"/>
    <cellStyle name="Jó 3" xfId="142" xr:uid="{00000000-0005-0000-0000-0000B3000000}"/>
    <cellStyle name="Jó 4" xfId="243" xr:uid="{00000000-0005-0000-0000-0000B4000000}"/>
    <cellStyle name="Kimenet" xfId="143" builtinId="21" customBuiltin="1"/>
    <cellStyle name="Kimenet 2" xfId="144" xr:uid="{00000000-0005-0000-0000-0000B6000000}"/>
    <cellStyle name="Kimenet 3" xfId="145" xr:uid="{00000000-0005-0000-0000-0000B7000000}"/>
    <cellStyle name="Kimenet 4" xfId="244" xr:uid="{00000000-0005-0000-0000-0000B8000000}"/>
    <cellStyle name="Linked Cell" xfId="146" xr:uid="{00000000-0005-0000-0000-0000B9000000}"/>
    <cellStyle name="Magyarázó szöveg" xfId="147" builtinId="53" customBuiltin="1"/>
    <cellStyle name="Magyarázó szöveg 2" xfId="148" xr:uid="{00000000-0005-0000-0000-0000BB000000}"/>
    <cellStyle name="Magyarázó szöveg 3" xfId="149" xr:uid="{00000000-0005-0000-0000-0000BC000000}"/>
    <cellStyle name="Magyarázó szöveg 4" xfId="245" xr:uid="{00000000-0005-0000-0000-0000BD000000}"/>
    <cellStyle name="Neutral" xfId="150" xr:uid="{00000000-0005-0000-0000-0000BE000000}"/>
    <cellStyle name="Normál" xfId="0" builtinId="0"/>
    <cellStyle name="Normál 10" xfId="151" xr:uid="{00000000-0005-0000-0000-0000C0000000}"/>
    <cellStyle name="Normál 11" xfId="198" xr:uid="{00000000-0005-0000-0000-0000C1000000}"/>
    <cellStyle name="Normál 11 2" xfId="202" xr:uid="{00000000-0005-0000-0000-0000C2000000}"/>
    <cellStyle name="Normál 11 3" xfId="251" xr:uid="{00000000-0005-0000-0000-0000C3000000}"/>
    <cellStyle name="Normál 11 4" xfId="253" xr:uid="{00000000-0005-0000-0000-0000C4000000}"/>
    <cellStyle name="Normál 11 5" xfId="255" xr:uid="{00000000-0005-0000-0000-0000C5000000}"/>
    <cellStyle name="Normál 11 6" xfId="262" xr:uid="{00000000-0005-0000-0000-0000C6000000}"/>
    <cellStyle name="Normál 11 7" xfId="268" xr:uid="{00000000-0005-0000-0000-0000C7000000}"/>
    <cellStyle name="Normál 11 7 2" xfId="269" xr:uid="{382691B0-10F8-4958-A436-B3B1F66C5FE5}"/>
    <cellStyle name="Normál 11 7 3" xfId="274" xr:uid="{E0FDB526-5CE4-440A-97A8-A1F96E259633}"/>
    <cellStyle name="Normál 11 8" xfId="272" xr:uid="{D125E3FC-D65C-4475-ABE2-3B9952A3BE7B}"/>
    <cellStyle name="Normál 12" xfId="206" xr:uid="{00000000-0005-0000-0000-0000C8000000}"/>
    <cellStyle name="Normál 13" xfId="207" xr:uid="{00000000-0005-0000-0000-0000C9000000}"/>
    <cellStyle name="Normál 13 2" xfId="263" xr:uid="{00000000-0005-0000-0000-0000CA000000}"/>
    <cellStyle name="Normál 13 3" xfId="266" xr:uid="{00000000-0005-0000-0000-0000CB000000}"/>
    <cellStyle name="Normál 13 4" xfId="270" xr:uid="{5F9AF311-4555-4E8B-A772-5A5674A84B01}"/>
    <cellStyle name="Normál 13 4 2" xfId="275" xr:uid="{B712DEF5-469A-4749-A466-EC3D05EF9EE2}"/>
    <cellStyle name="Normál 14" xfId="278" xr:uid="{15EC46E8-A89B-46B1-98E7-601CDE381B6E}"/>
    <cellStyle name="Normál 2" xfId="152" xr:uid="{00000000-0005-0000-0000-0000CC000000}"/>
    <cellStyle name="Normál 2 2" xfId="153" xr:uid="{00000000-0005-0000-0000-0000CD000000}"/>
    <cellStyle name="Normál 2 3" xfId="154" xr:uid="{00000000-0005-0000-0000-0000CE000000}"/>
    <cellStyle name="Normál 2 4" xfId="155" xr:uid="{00000000-0005-0000-0000-0000CF000000}"/>
    <cellStyle name="Normál 2 5" xfId="196" xr:uid="{00000000-0005-0000-0000-0000D0000000}"/>
    <cellStyle name="Normál 2_11.sz.melléklet_többéves" xfId="156" xr:uid="{00000000-0005-0000-0000-0000D1000000}"/>
    <cellStyle name="Normál 3" xfId="157" xr:uid="{00000000-0005-0000-0000-0000D2000000}"/>
    <cellStyle name="Normál 3 2" xfId="158" xr:uid="{00000000-0005-0000-0000-0000D3000000}"/>
    <cellStyle name="Normál 3 2 2" xfId="159" xr:uid="{00000000-0005-0000-0000-0000D4000000}"/>
    <cellStyle name="Normál 3 2 2 2" xfId="204" xr:uid="{00000000-0005-0000-0000-0000D5000000}"/>
    <cellStyle name="Normál 3 2 3" xfId="208" xr:uid="{00000000-0005-0000-0000-0000D6000000}"/>
    <cellStyle name="Normál 3 2 3 2" xfId="265" xr:uid="{00000000-0005-0000-0000-0000D7000000}"/>
    <cellStyle name="Normál 3 2 3 3" xfId="267" xr:uid="{00000000-0005-0000-0000-0000D8000000}"/>
    <cellStyle name="Normál 3 2 3 4" xfId="271" xr:uid="{560B9C44-F1A4-4A25-A851-E0C90B22F46B}"/>
    <cellStyle name="Normál 3 2 4" xfId="250" xr:uid="{00000000-0005-0000-0000-0000D9000000}"/>
    <cellStyle name="Normál 3 2 5" xfId="252" xr:uid="{00000000-0005-0000-0000-0000DA000000}"/>
    <cellStyle name="Normál 4" xfId="160" xr:uid="{00000000-0005-0000-0000-0000DB000000}"/>
    <cellStyle name="Normál 5" xfId="161" xr:uid="{00000000-0005-0000-0000-0000DC000000}"/>
    <cellStyle name="Normál 5 2" xfId="162" xr:uid="{00000000-0005-0000-0000-0000DD000000}"/>
    <cellStyle name="Normál 5 2 2" xfId="163" xr:uid="{00000000-0005-0000-0000-0000DE000000}"/>
    <cellStyle name="Normál 5 3" xfId="164" xr:uid="{00000000-0005-0000-0000-0000DF000000}"/>
    <cellStyle name="Normál 5 4" xfId="203" xr:uid="{00000000-0005-0000-0000-0000E0000000}"/>
    <cellStyle name="Normál 5_11.sz.melléklet_többéves" xfId="165" xr:uid="{00000000-0005-0000-0000-0000E1000000}"/>
    <cellStyle name="Normál 6" xfId="166" xr:uid="{00000000-0005-0000-0000-0000E2000000}"/>
    <cellStyle name="Normál 6 2" xfId="167" xr:uid="{00000000-0005-0000-0000-0000E3000000}"/>
    <cellStyle name="Normál 7" xfId="168" xr:uid="{00000000-0005-0000-0000-0000E4000000}"/>
    <cellStyle name="Normál 8" xfId="169" xr:uid="{00000000-0005-0000-0000-0000E5000000}"/>
    <cellStyle name="Normál 9" xfId="170" xr:uid="{00000000-0005-0000-0000-0000E6000000}"/>
    <cellStyle name="Normál_2001-2002. címjegyzék nov.28-i módosítása (1)" xfId="277" xr:uid="{C5C5286D-1522-4D63-9549-C2CBC5362708}"/>
    <cellStyle name="Normál_2001bev jó" xfId="264" xr:uid="{00000000-0005-0000-0000-0000E8000000}"/>
    <cellStyle name="Normál_2003év kiadás" xfId="171" xr:uid="{00000000-0005-0000-0000-0000E9000000}"/>
    <cellStyle name="Normál_2003költségvet" xfId="172" xr:uid="{00000000-0005-0000-0000-0000EA000000}"/>
    <cellStyle name="Normál_2003ktvmod2fin" xfId="259" xr:uid="{00000000-0005-0000-0000-0000EB000000}"/>
    <cellStyle name="Normál_2003terv" xfId="256" xr:uid="{00000000-0005-0000-0000-0000EC000000}"/>
    <cellStyle name="Normál_2006 költségv 2" xfId="273" xr:uid="{AC9D446C-F44C-443D-8F6A-5BFCE39740D0}"/>
    <cellStyle name="Normál_2006éviköltségvetés 2 2" xfId="276" xr:uid="{474077D4-8C10-4AEC-85A0-5B76A872D769}"/>
    <cellStyle name="Normál_2009éviköltségvetés-Móricz Károly 2" xfId="173" xr:uid="{00000000-0005-0000-0000-0000ED000000}"/>
    <cellStyle name="Normál_37-2010. évi III.rendmód 2 2" xfId="195" xr:uid="{00000000-0005-0000-0000-0000EE000000}"/>
    <cellStyle name="Normál_37-2010. évi III.rendmód_4. sz. melléklet 2" xfId="194" xr:uid="{00000000-0005-0000-0000-0000EF000000}"/>
    <cellStyle name="Normál_Áhttáblák_76-3-hiányzó mellékletek" xfId="258" xr:uid="{00000000-0005-0000-0000-0000F0000000}"/>
    <cellStyle name="Normál_bevétel_bevétel_1" xfId="174" xr:uid="{00000000-0005-0000-0000-0000F1000000}"/>
    <cellStyle name="Normál_bevétel_bevétel_1 2" xfId="175" xr:uid="{00000000-0005-0000-0000-0000F2000000}"/>
    <cellStyle name="Normál_bevétel_bevétel_1 2 2" xfId="176" xr:uid="{00000000-0005-0000-0000-0000F3000000}"/>
    <cellStyle name="Normál_finansz.2004" xfId="205" xr:uid="{00000000-0005-0000-0000-0000F5000000}"/>
    <cellStyle name="Normál_kiadás_1_2005aprilisrendmod" xfId="199" xr:uid="{00000000-0005-0000-0000-0000F6000000}"/>
    <cellStyle name="Normál_Környezetvédelmi Alap felosztása-01.21." xfId="260" xr:uid="{00000000-0005-0000-0000-0000F7000000}"/>
    <cellStyle name="Normál_kötelezettségváll 2009-ra" xfId="257" xr:uid="{00000000-0005-0000-0000-0000F8000000}"/>
    <cellStyle name="Normál_Munka2 (2)_1_2005aprilisrendmod" xfId="200" xr:uid="{00000000-0005-0000-0000-0000F9000000}"/>
    <cellStyle name="Note" xfId="177" xr:uid="{00000000-0005-0000-0000-0000FA000000}"/>
    <cellStyle name="Output" xfId="178" xr:uid="{00000000-0005-0000-0000-0000FB000000}"/>
    <cellStyle name="Összesen" xfId="179" builtinId="25" customBuiltin="1"/>
    <cellStyle name="Összesen 2" xfId="180" xr:uid="{00000000-0005-0000-0000-0000FD000000}"/>
    <cellStyle name="Összesen 3" xfId="181" xr:uid="{00000000-0005-0000-0000-0000FE000000}"/>
    <cellStyle name="Összesen 4" xfId="246" xr:uid="{00000000-0005-0000-0000-0000FF000000}"/>
    <cellStyle name="Rossz" xfId="182" builtinId="27" customBuiltin="1"/>
    <cellStyle name="Rossz 2" xfId="183" xr:uid="{00000000-0005-0000-0000-000001010000}"/>
    <cellStyle name="Rossz 3" xfId="184" xr:uid="{00000000-0005-0000-0000-000002010000}"/>
    <cellStyle name="Rossz 4" xfId="247" xr:uid="{00000000-0005-0000-0000-000003010000}"/>
    <cellStyle name="Semleges" xfId="185" builtinId="28" customBuiltin="1"/>
    <cellStyle name="Semleges 2" xfId="186" xr:uid="{00000000-0005-0000-0000-000005010000}"/>
    <cellStyle name="Semleges 3" xfId="187" xr:uid="{00000000-0005-0000-0000-000006010000}"/>
    <cellStyle name="Semleges 4" xfId="248" xr:uid="{00000000-0005-0000-0000-000007010000}"/>
    <cellStyle name="Számítás" xfId="188" builtinId="22" customBuiltin="1"/>
    <cellStyle name="Számítás 2" xfId="189" xr:uid="{00000000-0005-0000-0000-000009010000}"/>
    <cellStyle name="Számítás 3" xfId="190" xr:uid="{00000000-0005-0000-0000-00000A010000}"/>
    <cellStyle name="Számítás 4" xfId="249" xr:uid="{00000000-0005-0000-0000-00000B010000}"/>
    <cellStyle name="Title" xfId="191" xr:uid="{00000000-0005-0000-0000-00000C010000}"/>
    <cellStyle name="Total" xfId="192" xr:uid="{00000000-0005-0000-0000-00000D010000}"/>
    <cellStyle name="Warning Text" xfId="193" xr:uid="{00000000-0005-0000-0000-00000E010000}"/>
  </cellStyles>
  <dxfs count="0"/>
  <tableStyles count="0" defaultTableStyle="TableStyleMedium9" defaultPivotStyle="PivotStyleLight16"/>
  <colors>
    <mruColors>
      <color rgb="FFCCFF33"/>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KISARINE\USER\KAISER\5MELLEK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ilesrv1\projects\USER\KISARINE\USER\KAISER\5MELLEK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USER\KISARINE\USER\KAISER\5MELLEK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K&#246;lts&#233;gvet&#233;s\2012\Rendeletm&#243;dos&#237;t&#225;s\Decemberi%20rendeletm&#243;dos&#237;t&#225;s\Test&#252;leti\USER\KISARINE\USER\KAISER\5MELLEK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nka1"/>
      <sheetName val="Munka2"/>
      <sheetName val="Munka1 (2)"/>
      <sheetName val="Munka3"/>
    </sheetNames>
    <sheetDataSet>
      <sheetData sheetId="0" refreshError="1"/>
      <sheetData sheetId="1" refreshError="1"/>
      <sheetData sheetId="2" refreshError="1"/>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nka1"/>
      <sheetName val="Munka2"/>
      <sheetName val="Munka1 (2)"/>
      <sheetName val="Munka3"/>
    </sheetNames>
    <sheetDataSet>
      <sheetData sheetId="0" refreshError="1"/>
      <sheetData sheetId="1" refreshError="1"/>
      <sheetData sheetId="2" refreshError="1"/>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nka1"/>
      <sheetName val="Munka2"/>
      <sheetName val="Munka1 (2)"/>
      <sheetName val="Munka3"/>
    </sheetNames>
    <sheetDataSet>
      <sheetData sheetId="0" refreshError="1"/>
      <sheetData sheetId="1" refreshError="1"/>
      <sheetData sheetId="2" refreshError="1"/>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nka1"/>
      <sheetName val="Munka2"/>
      <sheetName val="Munka1 (2)"/>
      <sheetName val="Munka3"/>
    </sheetNames>
    <sheetDataSet>
      <sheetData sheetId="0" refreshError="1"/>
      <sheetData sheetId="1" refreshError="1"/>
      <sheetData sheetId="2" refreshError="1"/>
      <sheetData sheetId="3"/>
    </sheetDataSet>
  </externalBook>
</externalLink>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4951"/>
  <sheetViews>
    <sheetView zoomScale="70" zoomScaleNormal="70" workbookViewId="0">
      <pane xSplit="2" ySplit="8" topLeftCell="C9" activePane="bottomRight" state="frozen"/>
      <selection sqref="A1:XFD1048576"/>
      <selection pane="topRight" sqref="A1:XFD1048576"/>
      <selection pane="bottomLeft" sqref="A1:XFD1048576"/>
      <selection pane="bottomRight" activeCell="C1" sqref="C1:N1"/>
    </sheetView>
  </sheetViews>
  <sheetFormatPr defaultColWidth="9.25" defaultRowHeight="15.75" x14ac:dyDescent="0.25"/>
  <cols>
    <col min="1" max="1" width="37.5" style="124" customWidth="1"/>
    <col min="2" max="2" width="10.375" style="124" customWidth="1"/>
    <col min="3" max="3" width="12.625" style="13" customWidth="1"/>
    <col min="4" max="4" width="13.5" style="13" customWidth="1"/>
    <col min="5" max="5" width="14.5" style="13" customWidth="1"/>
    <col min="6" max="8" width="13.875" style="13" customWidth="1"/>
    <col min="9" max="9" width="15.25" style="13" customWidth="1"/>
    <col min="10" max="12" width="13.875" style="13" customWidth="1"/>
    <col min="13" max="13" width="15" style="13" customWidth="1"/>
    <col min="14" max="14" width="13.875" style="13" customWidth="1"/>
    <col min="15" max="15" width="12.875" style="13" customWidth="1"/>
    <col min="16" max="16" width="13.25" style="13" customWidth="1"/>
    <col min="17" max="17" width="16" style="13" customWidth="1"/>
    <col min="18" max="18" width="14.75" style="13" customWidth="1"/>
    <col min="19" max="20" width="12.625" style="13" customWidth="1"/>
    <col min="21" max="21" width="15.875" style="13" customWidth="1"/>
    <col min="22" max="22" width="14" style="13" customWidth="1"/>
    <col min="23" max="24" width="12.625" style="13" customWidth="1"/>
    <col min="25" max="25" width="15.625" style="13" customWidth="1"/>
    <col min="26" max="26" width="14.25" style="13" customWidth="1"/>
    <col min="27" max="27" width="13.125" style="13" customWidth="1"/>
    <col min="28" max="28" width="13.75" style="13" customWidth="1"/>
    <col min="29" max="29" width="15.25" style="13" customWidth="1"/>
    <col min="30" max="30" width="13.875" style="13" customWidth="1"/>
    <col min="31" max="31" width="13.125" style="13" customWidth="1"/>
    <col min="32" max="32" width="13.75" style="13" customWidth="1"/>
    <col min="33" max="33" width="15.25" style="13" customWidth="1"/>
    <col min="34" max="34" width="13.875" style="13" customWidth="1"/>
    <col min="35" max="35" width="13.125" style="13" customWidth="1"/>
    <col min="36" max="36" width="13.75" style="13" customWidth="1"/>
    <col min="37" max="37" width="15.25" style="13" customWidth="1"/>
    <col min="38" max="38" width="14.25" style="13" customWidth="1"/>
    <col min="39" max="16384" width="9.25" style="13"/>
  </cols>
  <sheetData>
    <row r="1" spans="1:38" x14ac:dyDescent="0.25">
      <c r="C1" s="956" t="s">
        <v>367</v>
      </c>
      <c r="D1" s="956"/>
      <c r="E1" s="956"/>
      <c r="F1" s="956"/>
      <c r="G1" s="956"/>
      <c r="H1" s="956"/>
      <c r="I1" s="956"/>
      <c r="J1" s="956"/>
      <c r="K1" s="956"/>
      <c r="L1" s="956"/>
      <c r="M1" s="956"/>
      <c r="N1" s="956"/>
      <c r="O1" s="956" t="s">
        <v>367</v>
      </c>
      <c r="P1" s="956"/>
      <c r="Q1" s="956"/>
      <c r="R1" s="956"/>
      <c r="S1" s="956"/>
      <c r="T1" s="956"/>
      <c r="U1" s="956"/>
      <c r="V1" s="956"/>
      <c r="W1" s="956"/>
      <c r="X1" s="956"/>
      <c r="Y1" s="956"/>
      <c r="Z1" s="956"/>
      <c r="AA1" s="956" t="s">
        <v>367</v>
      </c>
      <c r="AB1" s="956"/>
      <c r="AC1" s="956"/>
      <c r="AD1" s="956"/>
      <c r="AE1" s="956"/>
      <c r="AF1" s="956"/>
      <c r="AG1" s="956"/>
      <c r="AH1" s="956"/>
      <c r="AI1" s="956"/>
      <c r="AJ1" s="956"/>
      <c r="AK1" s="956"/>
      <c r="AL1" s="956"/>
    </row>
    <row r="2" spans="1:38" x14ac:dyDescent="0.25">
      <c r="C2" s="956" t="s">
        <v>765</v>
      </c>
      <c r="D2" s="956"/>
      <c r="E2" s="956"/>
      <c r="F2" s="956"/>
      <c r="G2" s="956"/>
      <c r="H2" s="956"/>
      <c r="I2" s="956"/>
      <c r="J2" s="956"/>
      <c r="K2" s="956"/>
      <c r="L2" s="956"/>
      <c r="M2" s="956"/>
      <c r="N2" s="956"/>
      <c r="O2" s="956" t="s">
        <v>765</v>
      </c>
      <c r="P2" s="956"/>
      <c r="Q2" s="956"/>
      <c r="R2" s="956"/>
      <c r="S2" s="956"/>
      <c r="T2" s="956"/>
      <c r="U2" s="956"/>
      <c r="V2" s="956"/>
      <c r="W2" s="956"/>
      <c r="X2" s="956"/>
      <c r="Y2" s="956"/>
      <c r="Z2" s="956"/>
      <c r="AA2" s="956" t="s">
        <v>765</v>
      </c>
      <c r="AB2" s="956"/>
      <c r="AC2" s="956"/>
      <c r="AD2" s="956"/>
      <c r="AE2" s="956"/>
      <c r="AF2" s="956"/>
      <c r="AG2" s="956"/>
      <c r="AH2" s="956"/>
      <c r="AI2" s="956"/>
      <c r="AJ2" s="956"/>
      <c r="AK2" s="956"/>
      <c r="AL2" s="956"/>
    </row>
    <row r="3" spans="1:38" x14ac:dyDescent="0.25">
      <c r="C3" s="956" t="s">
        <v>1045</v>
      </c>
      <c r="D3" s="956"/>
      <c r="E3" s="956"/>
      <c r="F3" s="956"/>
      <c r="G3" s="956"/>
      <c r="H3" s="956"/>
      <c r="I3" s="956"/>
      <c r="J3" s="956"/>
      <c r="K3" s="956"/>
      <c r="L3" s="956"/>
      <c r="M3" s="956"/>
      <c r="N3" s="956"/>
      <c r="O3" s="956" t="s">
        <v>1045</v>
      </c>
      <c r="P3" s="956"/>
      <c r="Q3" s="956"/>
      <c r="R3" s="956"/>
      <c r="S3" s="956"/>
      <c r="T3" s="956"/>
      <c r="U3" s="956"/>
      <c r="V3" s="956"/>
      <c r="W3" s="956"/>
      <c r="X3" s="956"/>
      <c r="Y3" s="956"/>
      <c r="Z3" s="956"/>
      <c r="AA3" s="956" t="s">
        <v>1045</v>
      </c>
      <c r="AB3" s="956"/>
      <c r="AC3" s="956"/>
      <c r="AD3" s="956"/>
      <c r="AE3" s="956"/>
      <c r="AF3" s="956"/>
      <c r="AG3" s="956"/>
      <c r="AH3" s="956"/>
      <c r="AI3" s="956"/>
      <c r="AJ3" s="956"/>
      <c r="AK3" s="956"/>
      <c r="AL3" s="956"/>
    </row>
    <row r="4" spans="1:38" ht="16.5" thickBot="1" x14ac:dyDescent="0.3"/>
    <row r="5" spans="1:38" ht="87" customHeight="1" thickTop="1" thickBot="1" x14ac:dyDescent="0.3">
      <c r="A5" s="125"/>
      <c r="B5" s="126"/>
      <c r="C5" s="958" t="s">
        <v>22</v>
      </c>
      <c r="D5" s="959"/>
      <c r="E5" s="959"/>
      <c r="F5" s="959"/>
      <c r="G5" s="959"/>
      <c r="H5" s="959"/>
      <c r="I5" s="959"/>
      <c r="J5" s="959"/>
      <c r="K5" s="959"/>
      <c r="L5" s="959"/>
      <c r="M5" s="959"/>
      <c r="N5" s="960"/>
      <c r="O5" s="958" t="s">
        <v>23</v>
      </c>
      <c r="P5" s="959"/>
      <c r="Q5" s="959"/>
      <c r="R5" s="959"/>
      <c r="S5" s="959"/>
      <c r="T5" s="959"/>
      <c r="U5" s="959"/>
      <c r="V5" s="959"/>
      <c r="W5" s="959"/>
      <c r="X5" s="959"/>
      <c r="Y5" s="959"/>
      <c r="Z5" s="960"/>
      <c r="AA5" s="961" t="s">
        <v>143</v>
      </c>
      <c r="AB5" s="962"/>
      <c r="AC5" s="962"/>
      <c r="AD5" s="962"/>
      <c r="AE5" s="962"/>
      <c r="AF5" s="962"/>
      <c r="AG5" s="962"/>
      <c r="AH5" s="962"/>
      <c r="AI5" s="962"/>
      <c r="AJ5" s="962"/>
      <c r="AK5" s="962"/>
      <c r="AL5" s="963"/>
    </row>
    <row r="6" spans="1:38" ht="33" customHeight="1" thickTop="1" thickBot="1" x14ac:dyDescent="0.3">
      <c r="A6" s="125" t="s">
        <v>136</v>
      </c>
      <c r="B6" s="126" t="s">
        <v>153</v>
      </c>
      <c r="C6" s="958" t="s">
        <v>347</v>
      </c>
      <c r="D6" s="959"/>
      <c r="E6" s="959"/>
      <c r="F6" s="960"/>
      <c r="G6" s="958" t="s">
        <v>348</v>
      </c>
      <c r="H6" s="959"/>
      <c r="I6" s="959"/>
      <c r="J6" s="960"/>
      <c r="K6" s="958" t="s">
        <v>821</v>
      </c>
      <c r="L6" s="959"/>
      <c r="M6" s="959"/>
      <c r="N6" s="960"/>
      <c r="O6" s="958" t="s">
        <v>347</v>
      </c>
      <c r="P6" s="959"/>
      <c r="Q6" s="959"/>
      <c r="R6" s="960"/>
      <c r="S6" s="964" t="s">
        <v>348</v>
      </c>
      <c r="T6" s="964"/>
      <c r="U6" s="964"/>
      <c r="V6" s="964"/>
      <c r="W6" s="958" t="s">
        <v>821</v>
      </c>
      <c r="X6" s="959"/>
      <c r="Y6" s="959"/>
      <c r="Z6" s="960"/>
      <c r="AA6" s="958" t="s">
        <v>347</v>
      </c>
      <c r="AB6" s="959"/>
      <c r="AC6" s="959"/>
      <c r="AD6" s="960"/>
      <c r="AE6" s="958" t="s">
        <v>348</v>
      </c>
      <c r="AF6" s="959"/>
      <c r="AG6" s="959"/>
      <c r="AH6" s="960"/>
      <c r="AI6" s="958" t="s">
        <v>821</v>
      </c>
      <c r="AJ6" s="959"/>
      <c r="AK6" s="959"/>
      <c r="AL6" s="960"/>
    </row>
    <row r="7" spans="1:38" ht="48" customHeight="1" thickTop="1" thickBot="1" x14ac:dyDescent="0.3">
      <c r="A7" s="125"/>
      <c r="B7" s="126"/>
      <c r="C7" s="611" t="s">
        <v>131</v>
      </c>
      <c r="D7" s="612" t="s">
        <v>132</v>
      </c>
      <c r="E7" s="612" t="s">
        <v>333</v>
      </c>
      <c r="F7" s="612" t="s">
        <v>143</v>
      </c>
      <c r="G7" s="611" t="s">
        <v>131</v>
      </c>
      <c r="H7" s="611" t="s">
        <v>132</v>
      </c>
      <c r="I7" s="611" t="s">
        <v>333</v>
      </c>
      <c r="J7" s="611" t="s">
        <v>143</v>
      </c>
      <c r="K7" s="611" t="s">
        <v>131</v>
      </c>
      <c r="L7" s="611" t="s">
        <v>132</v>
      </c>
      <c r="M7" s="611" t="s">
        <v>333</v>
      </c>
      <c r="N7" s="612" t="s">
        <v>143</v>
      </c>
      <c r="O7" s="611" t="s">
        <v>131</v>
      </c>
      <c r="P7" s="612" t="s">
        <v>132</v>
      </c>
      <c r="Q7" s="612" t="s">
        <v>333</v>
      </c>
      <c r="R7" s="612" t="s">
        <v>143</v>
      </c>
      <c r="S7" s="611" t="s">
        <v>131</v>
      </c>
      <c r="T7" s="611" t="s">
        <v>132</v>
      </c>
      <c r="U7" s="611" t="s">
        <v>333</v>
      </c>
      <c r="V7" s="611" t="s">
        <v>143</v>
      </c>
      <c r="W7" s="611" t="s">
        <v>131</v>
      </c>
      <c r="X7" s="611" t="s">
        <v>132</v>
      </c>
      <c r="Y7" s="611" t="s">
        <v>333</v>
      </c>
      <c r="Z7" s="612" t="s">
        <v>143</v>
      </c>
      <c r="AA7" s="611" t="s">
        <v>131</v>
      </c>
      <c r="AB7" s="612" t="s">
        <v>132</v>
      </c>
      <c r="AC7" s="612" t="s">
        <v>333</v>
      </c>
      <c r="AD7" s="612" t="s">
        <v>143</v>
      </c>
      <c r="AE7" s="611" t="s">
        <v>131</v>
      </c>
      <c r="AF7" s="612" t="s">
        <v>132</v>
      </c>
      <c r="AG7" s="612" t="s">
        <v>333</v>
      </c>
      <c r="AH7" s="612" t="s">
        <v>143</v>
      </c>
      <c r="AI7" s="611" t="s">
        <v>131</v>
      </c>
      <c r="AJ7" s="612" t="s">
        <v>132</v>
      </c>
      <c r="AK7" s="612" t="s">
        <v>333</v>
      </c>
      <c r="AL7" s="612" t="s">
        <v>143</v>
      </c>
    </row>
    <row r="8" spans="1:38" ht="17.25" thickTop="1" thickBot="1" x14ac:dyDescent="0.3">
      <c r="A8" s="125" t="s">
        <v>137</v>
      </c>
      <c r="B8" s="126"/>
      <c r="C8" s="958" t="s">
        <v>358</v>
      </c>
      <c r="D8" s="959"/>
      <c r="E8" s="959"/>
      <c r="F8" s="960"/>
      <c r="G8" s="964" t="s">
        <v>359</v>
      </c>
      <c r="H8" s="964"/>
      <c r="I8" s="964"/>
      <c r="J8" s="964"/>
      <c r="K8" s="964" t="s">
        <v>360</v>
      </c>
      <c r="L8" s="964"/>
      <c r="M8" s="964"/>
      <c r="N8" s="964"/>
      <c r="O8" s="961" t="s">
        <v>361</v>
      </c>
      <c r="P8" s="962"/>
      <c r="Q8" s="962"/>
      <c r="R8" s="963"/>
      <c r="S8" s="957" t="s">
        <v>362</v>
      </c>
      <c r="T8" s="957"/>
      <c r="U8" s="957"/>
      <c r="V8" s="957"/>
      <c r="W8" s="957" t="s">
        <v>363</v>
      </c>
      <c r="X8" s="957"/>
      <c r="Y8" s="957"/>
      <c r="Z8" s="957"/>
      <c r="AA8" s="961" t="s">
        <v>364</v>
      </c>
      <c r="AB8" s="962"/>
      <c r="AC8" s="962"/>
      <c r="AD8" s="963"/>
      <c r="AE8" s="961" t="s">
        <v>365</v>
      </c>
      <c r="AF8" s="962"/>
      <c r="AG8" s="962"/>
      <c r="AH8" s="963"/>
      <c r="AI8" s="961" t="s">
        <v>366</v>
      </c>
      <c r="AJ8" s="962"/>
      <c r="AK8" s="962"/>
      <c r="AL8" s="963"/>
    </row>
    <row r="9" spans="1:38" ht="32.25" thickTop="1" x14ac:dyDescent="0.25">
      <c r="A9" s="12" t="s">
        <v>185</v>
      </c>
      <c r="B9" s="41" t="s">
        <v>189</v>
      </c>
      <c r="C9" s="514">
        <v>8714</v>
      </c>
      <c r="D9" s="526">
        <v>233</v>
      </c>
      <c r="E9" s="5"/>
      <c r="F9" s="6">
        <f t="shared" ref="F9:F17" si="0">SUM(C9:E9)</f>
        <v>8947</v>
      </c>
      <c r="G9" s="6">
        <v>-87</v>
      </c>
      <c r="H9" s="6"/>
      <c r="I9" s="6"/>
      <c r="J9" s="6">
        <f>SUM(G9:I9)</f>
        <v>-87</v>
      </c>
      <c r="K9" s="6">
        <f t="shared" ref="K9:K11" si="1">SUM(G9+C9)</f>
        <v>8627</v>
      </c>
      <c r="L9" s="6">
        <f t="shared" ref="L9:L11" si="2">SUM(H9+D9)</f>
        <v>233</v>
      </c>
      <c r="M9" s="6">
        <f t="shared" ref="M9:M11" si="3">SUM(I9+E9)</f>
        <v>0</v>
      </c>
      <c r="N9" s="6">
        <f>SUM(K9:M9)</f>
        <v>8860</v>
      </c>
      <c r="O9" s="5"/>
      <c r="P9" s="5"/>
      <c r="Q9" s="5"/>
      <c r="R9" s="5"/>
      <c r="S9" s="5"/>
      <c r="T9" s="5"/>
      <c r="U9" s="5"/>
      <c r="V9" s="5"/>
      <c r="W9" s="5"/>
      <c r="X9" s="5"/>
      <c r="Y9" s="5"/>
      <c r="Z9" s="5"/>
      <c r="AA9" s="3">
        <f t="shared" ref="AA9:AC11" si="4">SUM(O9+C9)</f>
        <v>8714</v>
      </c>
      <c r="AB9" s="3">
        <f t="shared" si="4"/>
        <v>233</v>
      </c>
      <c r="AC9" s="3">
        <f t="shared" si="4"/>
        <v>0</v>
      </c>
      <c r="AD9" s="3">
        <f>SUM(AA9:AC9)</f>
        <v>8947</v>
      </c>
      <c r="AE9" s="3">
        <f>SUM(S9+G9)</f>
        <v>-87</v>
      </c>
      <c r="AF9" s="3">
        <f t="shared" ref="AE9:AG11" si="5">SUM(T9+H9)</f>
        <v>0</v>
      </c>
      <c r="AG9" s="3">
        <f t="shared" si="5"/>
        <v>0</v>
      </c>
      <c r="AH9" s="3">
        <f t="shared" ref="AH9:AH11" si="6">SUM(AE9:AG9)</f>
        <v>-87</v>
      </c>
      <c r="AI9" s="3">
        <f>SUM(W9+K9)</f>
        <v>8627</v>
      </c>
      <c r="AJ9" s="3">
        <f t="shared" ref="AI9:AK11" si="7">SUM(X9+L9)</f>
        <v>233</v>
      </c>
      <c r="AK9" s="3">
        <f t="shared" si="7"/>
        <v>0</v>
      </c>
      <c r="AL9" s="3">
        <f t="shared" ref="AL9:AL11" si="8">SUM(AI9:AK9)</f>
        <v>8860</v>
      </c>
    </row>
    <row r="10" spans="1:38" ht="31.5" x14ac:dyDescent="0.25">
      <c r="A10" s="12" t="s">
        <v>315</v>
      </c>
      <c r="B10" s="12" t="s">
        <v>190</v>
      </c>
      <c r="C10" s="5">
        <v>2187883</v>
      </c>
      <c r="D10" s="526">
        <v>0</v>
      </c>
      <c r="E10" s="5"/>
      <c r="F10" s="6">
        <f t="shared" si="0"/>
        <v>2187883</v>
      </c>
      <c r="G10" s="6"/>
      <c r="H10" s="6"/>
      <c r="I10" s="6"/>
      <c r="J10" s="6">
        <f>SUM(G10:I10)</f>
        <v>0</v>
      </c>
      <c r="K10" s="6">
        <f t="shared" si="1"/>
        <v>2187883</v>
      </c>
      <c r="L10" s="6">
        <f t="shared" si="2"/>
        <v>0</v>
      </c>
      <c r="M10" s="6">
        <f t="shared" si="3"/>
        <v>0</v>
      </c>
      <c r="N10" s="6">
        <f t="shared" ref="N10:N11" si="9">SUM(K10:M10)</f>
        <v>2187883</v>
      </c>
      <c r="O10" s="5"/>
      <c r="P10" s="5"/>
      <c r="Q10" s="5"/>
      <c r="R10" s="5"/>
      <c r="S10" s="5"/>
      <c r="T10" s="5"/>
      <c r="U10" s="5"/>
      <c r="V10" s="5"/>
      <c r="W10" s="5"/>
      <c r="X10" s="5"/>
      <c r="Y10" s="5"/>
      <c r="Z10" s="5"/>
      <c r="AA10" s="3">
        <f t="shared" si="4"/>
        <v>2187883</v>
      </c>
      <c r="AB10" s="3">
        <f t="shared" si="4"/>
        <v>0</v>
      </c>
      <c r="AC10" s="3">
        <f t="shared" si="4"/>
        <v>0</v>
      </c>
      <c r="AD10" s="3">
        <f>SUM(AA10:AC10)</f>
        <v>2187883</v>
      </c>
      <c r="AE10" s="3">
        <f t="shared" si="5"/>
        <v>0</v>
      </c>
      <c r="AF10" s="3">
        <f t="shared" si="5"/>
        <v>0</v>
      </c>
      <c r="AG10" s="3">
        <f t="shared" si="5"/>
        <v>0</v>
      </c>
      <c r="AH10" s="3">
        <f t="shared" si="6"/>
        <v>0</v>
      </c>
      <c r="AI10" s="3">
        <f t="shared" si="7"/>
        <v>2187883</v>
      </c>
      <c r="AJ10" s="3">
        <f t="shared" si="7"/>
        <v>0</v>
      </c>
      <c r="AK10" s="3">
        <f t="shared" si="7"/>
        <v>0</v>
      </c>
      <c r="AL10" s="3">
        <f t="shared" si="8"/>
        <v>2187883</v>
      </c>
    </row>
    <row r="11" spans="1:38" ht="47.25" x14ac:dyDescent="0.25">
      <c r="A11" s="81" t="s">
        <v>311</v>
      </c>
      <c r="B11" s="12" t="s">
        <v>191</v>
      </c>
      <c r="C11" s="5">
        <v>2197601</v>
      </c>
      <c r="D11" s="526">
        <v>0</v>
      </c>
      <c r="E11" s="5"/>
      <c r="F11" s="6">
        <f t="shared" si="0"/>
        <v>2197601</v>
      </c>
      <c r="G11" s="6">
        <v>-1</v>
      </c>
      <c r="H11" s="6"/>
      <c r="I11" s="6"/>
      <c r="J11" s="6">
        <f t="shared" ref="J11:J17" si="10">SUM(G11:I11)</f>
        <v>-1</v>
      </c>
      <c r="K11" s="5">
        <f t="shared" si="1"/>
        <v>2197600</v>
      </c>
      <c r="L11" s="6">
        <f t="shared" si="2"/>
        <v>0</v>
      </c>
      <c r="M11" s="6">
        <f t="shared" si="3"/>
        <v>0</v>
      </c>
      <c r="N11" s="6">
        <f t="shared" si="9"/>
        <v>2197600</v>
      </c>
      <c r="O11" s="5"/>
      <c r="P11" s="5"/>
      <c r="Q11" s="5"/>
      <c r="R11" s="5"/>
      <c r="S11" s="5"/>
      <c r="T11" s="5"/>
      <c r="U11" s="5"/>
      <c r="V11" s="5"/>
      <c r="W11" s="5"/>
      <c r="X11" s="5"/>
      <c r="Y11" s="5"/>
      <c r="Z11" s="5"/>
      <c r="AA11" s="3">
        <f t="shared" si="4"/>
        <v>2197601</v>
      </c>
      <c r="AB11" s="3">
        <f t="shared" si="4"/>
        <v>0</v>
      </c>
      <c r="AC11" s="3">
        <f t="shared" si="4"/>
        <v>0</v>
      </c>
      <c r="AD11" s="3">
        <f>SUM(AA11:AC11)</f>
        <v>2197601</v>
      </c>
      <c r="AE11" s="3">
        <f t="shared" si="5"/>
        <v>-1</v>
      </c>
      <c r="AF11" s="3">
        <f t="shared" si="5"/>
        <v>0</v>
      </c>
      <c r="AG11" s="3">
        <f t="shared" si="5"/>
        <v>0</v>
      </c>
      <c r="AH11" s="3">
        <f t="shared" si="6"/>
        <v>-1</v>
      </c>
      <c r="AI11" s="3">
        <f t="shared" si="7"/>
        <v>2197600</v>
      </c>
      <c r="AJ11" s="3">
        <f t="shared" si="7"/>
        <v>0</v>
      </c>
      <c r="AK11" s="3">
        <f t="shared" si="7"/>
        <v>0</v>
      </c>
      <c r="AL11" s="3">
        <f t="shared" si="8"/>
        <v>2197600</v>
      </c>
    </row>
    <row r="12" spans="1:38" ht="31.5" x14ac:dyDescent="0.25">
      <c r="A12" s="12" t="s">
        <v>186</v>
      </c>
      <c r="B12" s="12" t="s">
        <v>192</v>
      </c>
      <c r="C12" s="5">
        <v>600464</v>
      </c>
      <c r="D12" s="526">
        <v>72757</v>
      </c>
      <c r="E12" s="5"/>
      <c r="F12" s="6">
        <f t="shared" si="0"/>
        <v>673221</v>
      </c>
      <c r="G12" s="6"/>
      <c r="H12" s="6"/>
      <c r="I12" s="6"/>
      <c r="J12" s="6">
        <f t="shared" si="10"/>
        <v>0</v>
      </c>
      <c r="K12" s="5">
        <f t="shared" ref="K12:K17" si="11">SUM(G12+C12)</f>
        <v>600464</v>
      </c>
      <c r="L12" s="6">
        <f t="shared" ref="L12:L17" si="12">SUM(H12+D12)</f>
        <v>72757</v>
      </c>
      <c r="M12" s="6">
        <f t="shared" ref="M12:M17" si="13">SUM(I12+E12)</f>
        <v>0</v>
      </c>
      <c r="N12" s="6">
        <f t="shared" ref="N12:N17" si="14">SUM(K12:M12)</f>
        <v>673221</v>
      </c>
      <c r="O12" s="5"/>
      <c r="P12" s="5"/>
      <c r="Q12" s="5"/>
      <c r="R12" s="5"/>
      <c r="S12" s="5"/>
      <c r="T12" s="5"/>
      <c r="U12" s="5"/>
      <c r="V12" s="5"/>
      <c r="W12" s="5"/>
      <c r="X12" s="5"/>
      <c r="Y12" s="5"/>
      <c r="Z12" s="5"/>
      <c r="AA12" s="3">
        <f t="shared" ref="AA12:AD17" si="15">SUM(C12+O12)</f>
        <v>600464</v>
      </c>
      <c r="AB12" s="3">
        <f t="shared" si="15"/>
        <v>72757</v>
      </c>
      <c r="AC12" s="3">
        <f t="shared" si="15"/>
        <v>0</v>
      </c>
      <c r="AD12" s="3">
        <f t="shared" si="15"/>
        <v>673221</v>
      </c>
      <c r="AE12" s="3">
        <f t="shared" ref="AE12:AL17" si="16">SUM(G12+S12)</f>
        <v>0</v>
      </c>
      <c r="AF12" s="3">
        <f t="shared" si="16"/>
        <v>0</v>
      </c>
      <c r="AG12" s="3">
        <f t="shared" si="16"/>
        <v>0</v>
      </c>
      <c r="AH12" s="3">
        <f t="shared" si="16"/>
        <v>0</v>
      </c>
      <c r="AI12" s="3">
        <f t="shared" si="16"/>
        <v>600464</v>
      </c>
      <c r="AJ12" s="3">
        <f t="shared" si="16"/>
        <v>72757</v>
      </c>
      <c r="AK12" s="3">
        <f t="shared" si="16"/>
        <v>0</v>
      </c>
      <c r="AL12" s="3">
        <f t="shared" si="16"/>
        <v>673221</v>
      </c>
    </row>
    <row r="13" spans="1:38" ht="31.5" x14ac:dyDescent="0.25">
      <c r="A13" s="12" t="s">
        <v>25</v>
      </c>
      <c r="B13" s="12"/>
      <c r="C13" s="5">
        <v>234160</v>
      </c>
      <c r="D13" s="526">
        <v>0</v>
      </c>
      <c r="E13" s="5"/>
      <c r="F13" s="6">
        <f t="shared" si="0"/>
        <v>234160</v>
      </c>
      <c r="G13" s="6"/>
      <c r="H13" s="6"/>
      <c r="I13" s="6"/>
      <c r="J13" s="6">
        <f t="shared" si="10"/>
        <v>0</v>
      </c>
      <c r="K13" s="5">
        <f t="shared" si="11"/>
        <v>234160</v>
      </c>
      <c r="L13" s="6">
        <f t="shared" si="12"/>
        <v>0</v>
      </c>
      <c r="M13" s="6">
        <f t="shared" si="13"/>
        <v>0</v>
      </c>
      <c r="N13" s="6">
        <f t="shared" si="14"/>
        <v>234160</v>
      </c>
      <c r="O13" s="5"/>
      <c r="P13" s="5"/>
      <c r="Q13" s="5"/>
      <c r="R13" s="5"/>
      <c r="S13" s="5"/>
      <c r="T13" s="5"/>
      <c r="U13" s="5"/>
      <c r="V13" s="5"/>
      <c r="W13" s="5"/>
      <c r="X13" s="5"/>
      <c r="Y13" s="5"/>
      <c r="Z13" s="5"/>
      <c r="AA13" s="3">
        <f t="shared" si="15"/>
        <v>234160</v>
      </c>
      <c r="AB13" s="3">
        <f t="shared" si="15"/>
        <v>0</v>
      </c>
      <c r="AC13" s="3">
        <f t="shared" si="15"/>
        <v>0</v>
      </c>
      <c r="AD13" s="3">
        <f t="shared" si="15"/>
        <v>234160</v>
      </c>
      <c r="AE13" s="3">
        <f t="shared" si="16"/>
        <v>0</v>
      </c>
      <c r="AF13" s="3">
        <f t="shared" si="16"/>
        <v>0</v>
      </c>
      <c r="AG13" s="3">
        <f t="shared" si="16"/>
        <v>0</v>
      </c>
      <c r="AH13" s="3">
        <f t="shared" si="16"/>
        <v>0</v>
      </c>
      <c r="AI13" s="3">
        <f t="shared" si="16"/>
        <v>234160</v>
      </c>
      <c r="AJ13" s="3">
        <f t="shared" si="16"/>
        <v>0</v>
      </c>
      <c r="AK13" s="3">
        <f t="shared" si="16"/>
        <v>0</v>
      </c>
      <c r="AL13" s="3">
        <f t="shared" si="16"/>
        <v>234160</v>
      </c>
    </row>
    <row r="14" spans="1:38" ht="31.5" x14ac:dyDescent="0.25">
      <c r="A14" s="12" t="s">
        <v>26</v>
      </c>
      <c r="B14" s="12"/>
      <c r="C14" s="5">
        <v>177000</v>
      </c>
      <c r="D14" s="526">
        <v>0</v>
      </c>
      <c r="E14" s="5"/>
      <c r="F14" s="6">
        <f t="shared" si="0"/>
        <v>177000</v>
      </c>
      <c r="G14" s="6"/>
      <c r="H14" s="6"/>
      <c r="I14" s="6"/>
      <c r="J14" s="6">
        <f t="shared" si="10"/>
        <v>0</v>
      </c>
      <c r="K14" s="5">
        <f t="shared" si="11"/>
        <v>177000</v>
      </c>
      <c r="L14" s="6">
        <f t="shared" si="12"/>
        <v>0</v>
      </c>
      <c r="M14" s="6">
        <f t="shared" si="13"/>
        <v>0</v>
      </c>
      <c r="N14" s="6">
        <f t="shared" si="14"/>
        <v>177000</v>
      </c>
      <c r="O14" s="5"/>
      <c r="P14" s="5"/>
      <c r="Q14" s="5"/>
      <c r="R14" s="5"/>
      <c r="S14" s="5"/>
      <c r="T14" s="5"/>
      <c r="U14" s="5"/>
      <c r="V14" s="5"/>
      <c r="W14" s="5"/>
      <c r="X14" s="5"/>
      <c r="Y14" s="5"/>
      <c r="Z14" s="5"/>
      <c r="AA14" s="3">
        <f t="shared" si="15"/>
        <v>177000</v>
      </c>
      <c r="AB14" s="3">
        <f t="shared" si="15"/>
        <v>0</v>
      </c>
      <c r="AC14" s="3">
        <f t="shared" si="15"/>
        <v>0</v>
      </c>
      <c r="AD14" s="3">
        <f t="shared" si="15"/>
        <v>177000</v>
      </c>
      <c r="AE14" s="3">
        <f t="shared" si="16"/>
        <v>0</v>
      </c>
      <c r="AF14" s="3">
        <f t="shared" si="16"/>
        <v>0</v>
      </c>
      <c r="AG14" s="3">
        <f t="shared" si="16"/>
        <v>0</v>
      </c>
      <c r="AH14" s="3">
        <f t="shared" si="16"/>
        <v>0</v>
      </c>
      <c r="AI14" s="3">
        <f t="shared" si="16"/>
        <v>177000</v>
      </c>
      <c r="AJ14" s="3">
        <f t="shared" si="16"/>
        <v>0</v>
      </c>
      <c r="AK14" s="3">
        <f t="shared" si="16"/>
        <v>0</v>
      </c>
      <c r="AL14" s="3">
        <f t="shared" si="16"/>
        <v>177000</v>
      </c>
    </row>
    <row r="15" spans="1:38" x14ac:dyDescent="0.25">
      <c r="A15" s="12" t="s">
        <v>778</v>
      </c>
      <c r="B15" s="12"/>
      <c r="C15" s="5">
        <v>0</v>
      </c>
      <c r="D15" s="526">
        <v>30000</v>
      </c>
      <c r="E15" s="5"/>
      <c r="F15" s="6">
        <f t="shared" ref="F15" si="17">SUM(C15:E15)</f>
        <v>30000</v>
      </c>
      <c r="G15" s="6"/>
      <c r="H15" s="6"/>
      <c r="I15" s="6"/>
      <c r="J15" s="6">
        <f t="shared" ref="J15" si="18">SUM(G15:I15)</f>
        <v>0</v>
      </c>
      <c r="K15" s="5">
        <f t="shared" ref="K15" si="19">SUM(G15+C15)</f>
        <v>0</v>
      </c>
      <c r="L15" s="6">
        <f t="shared" ref="L15" si="20">SUM(H15+D15)</f>
        <v>30000</v>
      </c>
      <c r="M15" s="6">
        <f t="shared" ref="M15" si="21">SUM(I15+E15)</f>
        <v>0</v>
      </c>
      <c r="N15" s="6">
        <f t="shared" ref="N15" si="22">SUM(K15:M15)</f>
        <v>30000</v>
      </c>
      <c r="O15" s="5"/>
      <c r="P15" s="5"/>
      <c r="Q15" s="5"/>
      <c r="R15" s="5"/>
      <c r="S15" s="5"/>
      <c r="T15" s="5"/>
      <c r="U15" s="5"/>
      <c r="V15" s="5"/>
      <c r="W15" s="5"/>
      <c r="X15" s="5"/>
      <c r="Y15" s="5"/>
      <c r="Z15" s="5"/>
      <c r="AA15" s="3">
        <f t="shared" ref="AA15" si="23">SUM(C15+O15)</f>
        <v>0</v>
      </c>
      <c r="AB15" s="3">
        <f t="shared" ref="AB15" si="24">SUM(D15+P15)</f>
        <v>30000</v>
      </c>
      <c r="AC15" s="3">
        <f t="shared" ref="AC15" si="25">SUM(E15+Q15)</f>
        <v>0</v>
      </c>
      <c r="AD15" s="3">
        <f t="shared" ref="AD15" si="26">SUM(F15+R15)</f>
        <v>30000</v>
      </c>
      <c r="AE15" s="3">
        <f t="shared" ref="AE15" si="27">SUM(G15+S15)</f>
        <v>0</v>
      </c>
      <c r="AF15" s="3">
        <f t="shared" ref="AF15" si="28">SUM(H15+T15)</f>
        <v>0</v>
      </c>
      <c r="AG15" s="3">
        <f t="shared" ref="AG15" si="29">SUM(I15+U15)</f>
        <v>0</v>
      </c>
      <c r="AH15" s="3">
        <f t="shared" ref="AH15" si="30">SUM(J15+V15)</f>
        <v>0</v>
      </c>
      <c r="AI15" s="3">
        <f t="shared" ref="AI15" si="31">SUM(K15+W15)</f>
        <v>0</v>
      </c>
      <c r="AJ15" s="3">
        <f t="shared" ref="AJ15" si="32">SUM(L15+X15)</f>
        <v>30000</v>
      </c>
      <c r="AK15" s="3">
        <f t="shared" ref="AK15" si="33">SUM(M15+Y15)</f>
        <v>0</v>
      </c>
      <c r="AL15" s="3">
        <f t="shared" ref="AL15" si="34">SUM(N15+Z15)</f>
        <v>30000</v>
      </c>
    </row>
    <row r="16" spans="1:38" x14ac:dyDescent="0.25">
      <c r="A16" s="12" t="s">
        <v>27</v>
      </c>
      <c r="B16" s="12"/>
      <c r="C16" s="5">
        <v>0</v>
      </c>
      <c r="D16" s="526">
        <v>0</v>
      </c>
      <c r="E16" s="5"/>
      <c r="F16" s="6">
        <f t="shared" si="0"/>
        <v>0</v>
      </c>
      <c r="G16" s="6"/>
      <c r="H16" s="6">
        <v>0</v>
      </c>
      <c r="I16" s="6"/>
      <c r="J16" s="6">
        <f t="shared" si="10"/>
        <v>0</v>
      </c>
      <c r="K16" s="5">
        <f t="shared" si="11"/>
        <v>0</v>
      </c>
      <c r="L16" s="6">
        <f t="shared" si="12"/>
        <v>0</v>
      </c>
      <c r="M16" s="6">
        <f t="shared" si="13"/>
        <v>0</v>
      </c>
      <c r="N16" s="6">
        <f t="shared" si="14"/>
        <v>0</v>
      </c>
      <c r="O16" s="5"/>
      <c r="P16" s="5"/>
      <c r="Q16" s="5"/>
      <c r="R16" s="5"/>
      <c r="S16" s="5"/>
      <c r="T16" s="5"/>
      <c r="U16" s="5"/>
      <c r="V16" s="5"/>
      <c r="W16" s="5"/>
      <c r="X16" s="5"/>
      <c r="Y16" s="5"/>
      <c r="Z16" s="5"/>
      <c r="AA16" s="3">
        <f t="shared" si="15"/>
        <v>0</v>
      </c>
      <c r="AB16" s="3">
        <f t="shared" si="15"/>
        <v>0</v>
      </c>
      <c r="AC16" s="3">
        <f t="shared" si="15"/>
        <v>0</v>
      </c>
      <c r="AD16" s="3">
        <f t="shared" si="15"/>
        <v>0</v>
      </c>
      <c r="AE16" s="3">
        <f t="shared" si="16"/>
        <v>0</v>
      </c>
      <c r="AF16" s="3">
        <f t="shared" si="16"/>
        <v>0</v>
      </c>
      <c r="AG16" s="3">
        <f t="shared" si="16"/>
        <v>0</v>
      </c>
      <c r="AH16" s="3">
        <f t="shared" si="16"/>
        <v>0</v>
      </c>
      <c r="AI16" s="3">
        <f t="shared" si="16"/>
        <v>0</v>
      </c>
      <c r="AJ16" s="3">
        <f t="shared" si="16"/>
        <v>0</v>
      </c>
      <c r="AK16" s="3">
        <f t="shared" si="16"/>
        <v>0</v>
      </c>
      <c r="AL16" s="3">
        <f t="shared" si="16"/>
        <v>0</v>
      </c>
    </row>
    <row r="17" spans="1:38" ht="36.75" customHeight="1" x14ac:dyDescent="0.25">
      <c r="A17" s="12" t="s">
        <v>187</v>
      </c>
      <c r="B17" s="12" t="s">
        <v>193</v>
      </c>
      <c r="C17" s="5">
        <v>208290</v>
      </c>
      <c r="D17" s="526">
        <v>0</v>
      </c>
      <c r="E17" s="5"/>
      <c r="F17" s="6">
        <f t="shared" si="0"/>
        <v>208290</v>
      </c>
      <c r="G17" s="6">
        <f>1063000+317000+615059</f>
        <v>1995059</v>
      </c>
      <c r="H17" s="6">
        <v>5825</v>
      </c>
      <c r="I17" s="6"/>
      <c r="J17" s="6">
        <f t="shared" si="10"/>
        <v>2000884</v>
      </c>
      <c r="K17" s="5">
        <f t="shared" si="11"/>
        <v>2203349</v>
      </c>
      <c r="L17" s="6">
        <f t="shared" si="12"/>
        <v>5825</v>
      </c>
      <c r="M17" s="6">
        <f t="shared" si="13"/>
        <v>0</v>
      </c>
      <c r="N17" s="6">
        <f t="shared" si="14"/>
        <v>2209174</v>
      </c>
      <c r="O17" s="5"/>
      <c r="P17" s="5"/>
      <c r="Q17" s="5"/>
      <c r="R17" s="5"/>
      <c r="S17" s="5"/>
      <c r="T17" s="5"/>
      <c r="U17" s="5"/>
      <c r="V17" s="5"/>
      <c r="W17" s="5"/>
      <c r="X17" s="5"/>
      <c r="Y17" s="5"/>
      <c r="Z17" s="5"/>
      <c r="AA17" s="3">
        <f t="shared" si="15"/>
        <v>208290</v>
      </c>
      <c r="AB17" s="3">
        <f t="shared" si="15"/>
        <v>0</v>
      </c>
      <c r="AC17" s="3">
        <f t="shared" si="15"/>
        <v>0</v>
      </c>
      <c r="AD17" s="3">
        <f t="shared" si="15"/>
        <v>208290</v>
      </c>
      <c r="AE17" s="3">
        <f t="shared" si="16"/>
        <v>1995059</v>
      </c>
      <c r="AF17" s="3">
        <f t="shared" si="16"/>
        <v>5825</v>
      </c>
      <c r="AG17" s="3">
        <f t="shared" si="16"/>
        <v>0</v>
      </c>
      <c r="AH17" s="3">
        <f t="shared" si="16"/>
        <v>2000884</v>
      </c>
      <c r="AI17" s="3">
        <f t="shared" si="16"/>
        <v>2203349</v>
      </c>
      <c r="AJ17" s="3">
        <f t="shared" si="16"/>
        <v>5825</v>
      </c>
      <c r="AK17" s="3">
        <f t="shared" si="16"/>
        <v>0</v>
      </c>
      <c r="AL17" s="3">
        <f t="shared" si="16"/>
        <v>2209174</v>
      </c>
    </row>
    <row r="18" spans="1:38" s="128" customFormat="1" ht="31.5" x14ac:dyDescent="0.25">
      <c r="A18" s="127" t="s">
        <v>188</v>
      </c>
      <c r="B18" s="127" t="s">
        <v>194</v>
      </c>
      <c r="C18" s="7">
        <f t="shared" ref="C18:F18" si="35">SUM(C9:C11,C12,C17)</f>
        <v>5202952</v>
      </c>
      <c r="D18" s="7">
        <f t="shared" si="35"/>
        <v>72990</v>
      </c>
      <c r="E18" s="7">
        <f t="shared" si="35"/>
        <v>0</v>
      </c>
      <c r="F18" s="7">
        <f t="shared" si="35"/>
        <v>5275942</v>
      </c>
      <c r="G18" s="7">
        <f>SUM(G9:G11,G12,G17)-1</f>
        <v>1994970</v>
      </c>
      <c r="H18" s="7">
        <f t="shared" ref="H18:AD18" si="36">SUM(H9:H11,H12,H17)</f>
        <v>5825</v>
      </c>
      <c r="I18" s="7">
        <f t="shared" si="36"/>
        <v>0</v>
      </c>
      <c r="J18" s="7">
        <f>SUM(J9:J11,J12,J17)-1</f>
        <v>2000795</v>
      </c>
      <c r="K18" s="7">
        <f>SUM(K9:K11,K12,K17)-1</f>
        <v>7197922</v>
      </c>
      <c r="L18" s="7">
        <f t="shared" si="36"/>
        <v>78815</v>
      </c>
      <c r="M18" s="7">
        <f t="shared" si="36"/>
        <v>0</v>
      </c>
      <c r="N18" s="7">
        <f>SUM(N9:N11,N12,N17)-1</f>
        <v>7276737</v>
      </c>
      <c r="O18" s="7">
        <f t="shared" si="36"/>
        <v>0</v>
      </c>
      <c r="P18" s="7">
        <f t="shared" si="36"/>
        <v>0</v>
      </c>
      <c r="Q18" s="7">
        <f t="shared" si="36"/>
        <v>0</v>
      </c>
      <c r="R18" s="7">
        <f t="shared" si="36"/>
        <v>0</v>
      </c>
      <c r="S18" s="7">
        <f t="shared" si="36"/>
        <v>0</v>
      </c>
      <c r="T18" s="7">
        <f t="shared" si="36"/>
        <v>0</v>
      </c>
      <c r="U18" s="7">
        <f t="shared" si="36"/>
        <v>0</v>
      </c>
      <c r="V18" s="7">
        <f t="shared" si="36"/>
        <v>0</v>
      </c>
      <c r="W18" s="7">
        <f t="shared" si="36"/>
        <v>0</v>
      </c>
      <c r="X18" s="7">
        <f t="shared" si="36"/>
        <v>0</v>
      </c>
      <c r="Y18" s="7">
        <f t="shared" si="36"/>
        <v>0</v>
      </c>
      <c r="Z18" s="7">
        <f t="shared" si="36"/>
        <v>0</v>
      </c>
      <c r="AA18" s="7">
        <f t="shared" si="36"/>
        <v>5202952</v>
      </c>
      <c r="AB18" s="7">
        <f t="shared" si="36"/>
        <v>72990</v>
      </c>
      <c r="AC18" s="7">
        <f t="shared" si="36"/>
        <v>0</v>
      </c>
      <c r="AD18" s="7">
        <f t="shared" si="36"/>
        <v>5275942</v>
      </c>
      <c r="AE18" s="7">
        <f>SUM(AE9:AE11,AE12,AE17)-1</f>
        <v>1994970</v>
      </c>
      <c r="AF18" s="7">
        <f t="shared" ref="AF18:AK18" si="37">SUM(AF9:AF11,AF12,AF17)</f>
        <v>5825</v>
      </c>
      <c r="AG18" s="7">
        <f t="shared" si="37"/>
        <v>0</v>
      </c>
      <c r="AH18" s="7">
        <f>SUM(AH9:AH11,AH12,AH17)-1</f>
        <v>2000795</v>
      </c>
      <c r="AI18" s="7">
        <f>SUM(AI9:AI11,AI12,AI17)-1</f>
        <v>7197922</v>
      </c>
      <c r="AJ18" s="7">
        <f t="shared" si="37"/>
        <v>78815</v>
      </c>
      <c r="AK18" s="7">
        <f t="shared" si="37"/>
        <v>0</v>
      </c>
      <c r="AL18" s="7">
        <f>SUM(AL9:AL11,AL12,AL17)-1</f>
        <v>7276737</v>
      </c>
    </row>
    <row r="19" spans="1:38" s="128" customFormat="1" ht="31.5" x14ac:dyDescent="0.25">
      <c r="A19" s="127" t="s">
        <v>226</v>
      </c>
      <c r="B19" s="127" t="s">
        <v>227</v>
      </c>
      <c r="C19" s="7">
        <v>1146486</v>
      </c>
      <c r="D19" s="7">
        <v>940150</v>
      </c>
      <c r="E19" s="7"/>
      <c r="F19" s="7">
        <f>SUM(C19:E19)</f>
        <v>2086636</v>
      </c>
      <c r="G19" s="7">
        <v>-1049220</v>
      </c>
      <c r="H19" s="7">
        <v>3214</v>
      </c>
      <c r="I19" s="7"/>
      <c r="J19" s="7">
        <f>SUM(G19:I19)</f>
        <v>-1046006</v>
      </c>
      <c r="K19" s="7">
        <f t="shared" ref="K19" si="38">SUM(G19+C19)</f>
        <v>97266</v>
      </c>
      <c r="L19" s="7">
        <f t="shared" ref="L19" si="39">SUM(H19+D19)</f>
        <v>943364</v>
      </c>
      <c r="M19" s="7">
        <f t="shared" ref="M19" si="40">SUM(I19+E19)</f>
        <v>0</v>
      </c>
      <c r="N19" s="7">
        <f t="shared" ref="N19" si="41">SUM(K19:M19)</f>
        <v>1040630</v>
      </c>
      <c r="O19" s="7">
        <v>1068634</v>
      </c>
      <c r="P19" s="7">
        <v>397377</v>
      </c>
      <c r="Q19" s="7">
        <v>74624</v>
      </c>
      <c r="R19" s="7">
        <f>SUM(O19:Q19)</f>
        <v>1540635</v>
      </c>
      <c r="S19" s="7">
        <v>113901</v>
      </c>
      <c r="T19" s="7">
        <v>7947</v>
      </c>
      <c r="U19" s="7">
        <v>0</v>
      </c>
      <c r="V19" s="7">
        <f>SUM(S19:U19)</f>
        <v>121848</v>
      </c>
      <c r="W19" s="7">
        <f>SUM(S19+O19)</f>
        <v>1182535</v>
      </c>
      <c r="X19" s="7">
        <f>SUM(T19+P19)</f>
        <v>405324</v>
      </c>
      <c r="Y19" s="7">
        <f>SUM(Q19+U19)</f>
        <v>74624</v>
      </c>
      <c r="Z19" s="7">
        <f>SUM(W19:Y19)</f>
        <v>1662483</v>
      </c>
      <c r="AA19" s="3">
        <f>SUM(C19+O19)</f>
        <v>2215120</v>
      </c>
      <c r="AB19" s="3">
        <f>SUM(D19+P19)</f>
        <v>1337527</v>
      </c>
      <c r="AC19" s="3">
        <f>SUM(E19+Q19)</f>
        <v>74624</v>
      </c>
      <c r="AD19" s="3">
        <f>SUM(F19+R19)</f>
        <v>3627271</v>
      </c>
      <c r="AE19" s="3">
        <f t="shared" ref="AE19:AL19" si="42">SUM(G19+S19)</f>
        <v>-935319</v>
      </c>
      <c r="AF19" s="3">
        <f t="shared" si="42"/>
        <v>11161</v>
      </c>
      <c r="AG19" s="3">
        <f t="shared" si="42"/>
        <v>0</v>
      </c>
      <c r="AH19" s="3">
        <f t="shared" si="42"/>
        <v>-924158</v>
      </c>
      <c r="AI19" s="3">
        <f t="shared" si="42"/>
        <v>1279801</v>
      </c>
      <c r="AJ19" s="3">
        <f t="shared" si="42"/>
        <v>1348688</v>
      </c>
      <c r="AK19" s="3">
        <f t="shared" si="42"/>
        <v>74624</v>
      </c>
      <c r="AL19" s="3">
        <f t="shared" si="42"/>
        <v>2703113</v>
      </c>
    </row>
    <row r="20" spans="1:38" ht="31.5" x14ac:dyDescent="0.25">
      <c r="A20" s="129" t="s">
        <v>228</v>
      </c>
      <c r="B20" s="129" t="s">
        <v>164</v>
      </c>
      <c r="C20" s="3">
        <f>SUM(C18+C19)</f>
        <v>6349438</v>
      </c>
      <c r="D20" s="3">
        <f t="shared" ref="D20:F20" si="43">SUM(D18+D19)</f>
        <v>1013140</v>
      </c>
      <c r="E20" s="3">
        <f t="shared" si="43"/>
        <v>0</v>
      </c>
      <c r="F20" s="3">
        <f t="shared" si="43"/>
        <v>7362578</v>
      </c>
      <c r="G20" s="3">
        <f t="shared" ref="G20:AD20" si="44">SUM(G18+G19)</f>
        <v>945750</v>
      </c>
      <c r="H20" s="3">
        <f t="shared" si="44"/>
        <v>9039</v>
      </c>
      <c r="I20" s="3">
        <f t="shared" si="44"/>
        <v>0</v>
      </c>
      <c r="J20" s="3">
        <f t="shared" si="44"/>
        <v>954789</v>
      </c>
      <c r="K20" s="3">
        <f t="shared" si="44"/>
        <v>7295188</v>
      </c>
      <c r="L20" s="3">
        <f t="shared" si="44"/>
        <v>1022179</v>
      </c>
      <c r="M20" s="3">
        <f t="shared" si="44"/>
        <v>0</v>
      </c>
      <c r="N20" s="3">
        <f t="shared" si="44"/>
        <v>8317367</v>
      </c>
      <c r="O20" s="3">
        <f t="shared" si="44"/>
        <v>1068634</v>
      </c>
      <c r="P20" s="3">
        <f t="shared" si="44"/>
        <v>397377</v>
      </c>
      <c r="Q20" s="3">
        <f t="shared" si="44"/>
        <v>74624</v>
      </c>
      <c r="R20" s="3">
        <f t="shared" si="44"/>
        <v>1540635</v>
      </c>
      <c r="S20" s="3">
        <f t="shared" si="44"/>
        <v>113901</v>
      </c>
      <c r="T20" s="3">
        <f t="shared" si="44"/>
        <v>7947</v>
      </c>
      <c r="U20" s="3">
        <f t="shared" si="44"/>
        <v>0</v>
      </c>
      <c r="V20" s="3">
        <f t="shared" si="44"/>
        <v>121848</v>
      </c>
      <c r="W20" s="3">
        <f t="shared" si="44"/>
        <v>1182535</v>
      </c>
      <c r="X20" s="3">
        <f t="shared" si="44"/>
        <v>405324</v>
      </c>
      <c r="Y20" s="3">
        <f t="shared" si="44"/>
        <v>74624</v>
      </c>
      <c r="Z20" s="3">
        <f t="shared" si="44"/>
        <v>1662483</v>
      </c>
      <c r="AA20" s="3">
        <f t="shared" si="44"/>
        <v>7418072</v>
      </c>
      <c r="AB20" s="3">
        <f t="shared" si="44"/>
        <v>1410517</v>
      </c>
      <c r="AC20" s="3">
        <f t="shared" si="44"/>
        <v>74624</v>
      </c>
      <c r="AD20" s="3">
        <f t="shared" si="44"/>
        <v>8903213</v>
      </c>
      <c r="AE20" s="3">
        <f t="shared" ref="AE20:AL20" si="45">SUM(AE18+AE19)</f>
        <v>1059651</v>
      </c>
      <c r="AF20" s="3">
        <f t="shared" si="45"/>
        <v>16986</v>
      </c>
      <c r="AG20" s="3">
        <f t="shared" si="45"/>
        <v>0</v>
      </c>
      <c r="AH20" s="3">
        <f t="shared" si="45"/>
        <v>1076637</v>
      </c>
      <c r="AI20" s="3">
        <f t="shared" si="45"/>
        <v>8477723</v>
      </c>
      <c r="AJ20" s="3">
        <f t="shared" si="45"/>
        <v>1427503</v>
      </c>
      <c r="AK20" s="3">
        <f t="shared" si="45"/>
        <v>74624</v>
      </c>
      <c r="AL20" s="3">
        <f t="shared" si="45"/>
        <v>9979850</v>
      </c>
    </row>
    <row r="21" spans="1:38" s="131" customFormat="1" ht="31.5" x14ac:dyDescent="0.25">
      <c r="A21" s="127" t="s">
        <v>229</v>
      </c>
      <c r="B21" s="130" t="s">
        <v>195</v>
      </c>
      <c r="C21" s="17">
        <v>2000</v>
      </c>
      <c r="D21" s="527">
        <v>1125500</v>
      </c>
      <c r="E21" s="17">
        <v>0</v>
      </c>
      <c r="F21" s="18">
        <f>SUM(C21:E21)</f>
        <v>1127500</v>
      </c>
      <c r="G21" s="18"/>
      <c r="H21" s="18">
        <v>-750000</v>
      </c>
      <c r="I21" s="18"/>
      <c r="J21" s="18">
        <f>SUM(G21:I21)</f>
        <v>-750000</v>
      </c>
      <c r="K21" s="17">
        <f t="shared" ref="K21:K22" si="46">SUM(G21+C21)</f>
        <v>2000</v>
      </c>
      <c r="L21" s="18">
        <f t="shared" ref="L21:L22" si="47">SUM(H21+D21)</f>
        <v>375500</v>
      </c>
      <c r="M21" s="18">
        <f t="shared" ref="M21:M22" si="48">SUM(I21+E21)</f>
        <v>0</v>
      </c>
      <c r="N21" s="18">
        <f t="shared" ref="N21:N22" si="49">SUM(K21:M21)</f>
        <v>377500</v>
      </c>
      <c r="O21" s="17"/>
      <c r="P21" s="17"/>
      <c r="Q21" s="17"/>
      <c r="R21" s="17">
        <f>SUM(O21:Q21)</f>
        <v>0</v>
      </c>
      <c r="S21" s="17"/>
      <c r="T21" s="17"/>
      <c r="U21" s="17"/>
      <c r="V21" s="17">
        <f>SUM(S21:U21)</f>
        <v>0</v>
      </c>
      <c r="W21" s="17">
        <f>SUM(S21+O21)</f>
        <v>0</v>
      </c>
      <c r="X21" s="17">
        <f>SUM(T21+P21)</f>
        <v>0</v>
      </c>
      <c r="Y21" s="17">
        <f>SUM(Q21+U21)</f>
        <v>0</v>
      </c>
      <c r="Z21" s="17">
        <f>SUM(W21:Y21)</f>
        <v>0</v>
      </c>
      <c r="AA21" s="3">
        <f t="shared" ref="AA21:AD22" si="50">SUM(C21+O21)</f>
        <v>2000</v>
      </c>
      <c r="AB21" s="3">
        <f t="shared" si="50"/>
        <v>1125500</v>
      </c>
      <c r="AC21" s="3">
        <f t="shared" si="50"/>
        <v>0</v>
      </c>
      <c r="AD21" s="3">
        <f t="shared" si="50"/>
        <v>1127500</v>
      </c>
      <c r="AE21" s="3">
        <f t="shared" ref="AE21:AL22" si="51">SUM(G21+S21)</f>
        <v>0</v>
      </c>
      <c r="AF21" s="3">
        <f t="shared" si="51"/>
        <v>-750000</v>
      </c>
      <c r="AG21" s="3">
        <f t="shared" si="51"/>
        <v>0</v>
      </c>
      <c r="AH21" s="3">
        <f t="shared" si="51"/>
        <v>-750000</v>
      </c>
      <c r="AI21" s="3">
        <f t="shared" si="51"/>
        <v>2000</v>
      </c>
      <c r="AJ21" s="3">
        <f t="shared" si="51"/>
        <v>375500</v>
      </c>
      <c r="AK21" s="3">
        <f t="shared" si="51"/>
        <v>0</v>
      </c>
      <c r="AL21" s="3">
        <f t="shared" si="51"/>
        <v>377500</v>
      </c>
    </row>
    <row r="22" spans="1:38" s="131" customFormat="1" ht="31.5" x14ac:dyDescent="0.25">
      <c r="A22" s="127" t="s">
        <v>231</v>
      </c>
      <c r="B22" s="130" t="s">
        <v>230</v>
      </c>
      <c r="C22" s="17">
        <v>5952149</v>
      </c>
      <c r="D22" s="527">
        <v>3398942</v>
      </c>
      <c r="E22" s="17">
        <v>0</v>
      </c>
      <c r="F22" s="18">
        <f>SUM(C22:E22)</f>
        <v>9351091</v>
      </c>
      <c r="G22" s="18">
        <f>67864-317000-615059+1</f>
        <v>-864194</v>
      </c>
      <c r="H22" s="18">
        <f>-5825-2213+749626</f>
        <v>741588</v>
      </c>
      <c r="I22" s="18"/>
      <c r="J22" s="18">
        <f>SUM(G22:I22)</f>
        <v>-122606</v>
      </c>
      <c r="K22" s="17">
        <f t="shared" si="46"/>
        <v>5087955</v>
      </c>
      <c r="L22" s="18">
        <f t="shared" si="47"/>
        <v>4140530</v>
      </c>
      <c r="M22" s="18">
        <f t="shared" si="48"/>
        <v>0</v>
      </c>
      <c r="N22" s="18">
        <f t="shared" si="49"/>
        <v>9228485</v>
      </c>
      <c r="O22" s="17">
        <v>0</v>
      </c>
      <c r="P22" s="17">
        <v>2866</v>
      </c>
      <c r="Q22" s="17">
        <v>0</v>
      </c>
      <c r="R22" s="17">
        <f>SUM(O22:Q22)</f>
        <v>2866</v>
      </c>
      <c r="S22" s="17"/>
      <c r="T22" s="17">
        <v>19370</v>
      </c>
      <c r="U22" s="17"/>
      <c r="V22" s="17">
        <f>SUM(S22:U22)</f>
        <v>19370</v>
      </c>
      <c r="W22" s="17">
        <f>SUM(S22+O22)</f>
        <v>0</v>
      </c>
      <c r="X22" s="17">
        <f>SUM(T22+P22)</f>
        <v>22236</v>
      </c>
      <c r="Y22" s="17">
        <f>SUM(Q22+U22)</f>
        <v>0</v>
      </c>
      <c r="Z22" s="17">
        <f>SUM(W22:Y22)</f>
        <v>22236</v>
      </c>
      <c r="AA22" s="3">
        <f t="shared" si="50"/>
        <v>5952149</v>
      </c>
      <c r="AB22" s="3">
        <f t="shared" si="50"/>
        <v>3401808</v>
      </c>
      <c r="AC22" s="3">
        <f t="shared" si="50"/>
        <v>0</v>
      </c>
      <c r="AD22" s="3">
        <f t="shared" si="50"/>
        <v>9353957</v>
      </c>
      <c r="AE22" s="3">
        <f t="shared" si="51"/>
        <v>-864194</v>
      </c>
      <c r="AF22" s="3">
        <f t="shared" si="51"/>
        <v>760958</v>
      </c>
      <c r="AG22" s="3">
        <f t="shared" si="51"/>
        <v>0</v>
      </c>
      <c r="AH22" s="3">
        <f t="shared" si="51"/>
        <v>-103236</v>
      </c>
      <c r="AI22" s="3">
        <f t="shared" si="51"/>
        <v>5087955</v>
      </c>
      <c r="AJ22" s="3">
        <f t="shared" si="51"/>
        <v>4162766</v>
      </c>
      <c r="AK22" s="3">
        <f t="shared" si="51"/>
        <v>0</v>
      </c>
      <c r="AL22" s="3">
        <f t="shared" si="51"/>
        <v>9250721</v>
      </c>
    </row>
    <row r="23" spans="1:38" s="133" customFormat="1" ht="31.5" x14ac:dyDescent="0.25">
      <c r="A23" s="129" t="s">
        <v>232</v>
      </c>
      <c r="B23" s="132" t="s">
        <v>165</v>
      </c>
      <c r="C23" s="19">
        <f>SUM(C21+C22)</f>
        <v>5954149</v>
      </c>
      <c r="D23" s="19">
        <f t="shared" ref="D23:F23" si="52">SUM(D21+D22)</f>
        <v>4524442</v>
      </c>
      <c r="E23" s="19">
        <f t="shared" si="52"/>
        <v>0</v>
      </c>
      <c r="F23" s="19">
        <f t="shared" si="52"/>
        <v>10478591</v>
      </c>
      <c r="G23" s="19">
        <f t="shared" ref="G23:AD23" si="53">SUM(G21+G22)</f>
        <v>-864194</v>
      </c>
      <c r="H23" s="19">
        <f t="shared" si="53"/>
        <v>-8412</v>
      </c>
      <c r="I23" s="19">
        <f t="shared" si="53"/>
        <v>0</v>
      </c>
      <c r="J23" s="19">
        <f t="shared" si="53"/>
        <v>-872606</v>
      </c>
      <c r="K23" s="19">
        <f t="shared" si="53"/>
        <v>5089955</v>
      </c>
      <c r="L23" s="19">
        <f t="shared" si="53"/>
        <v>4516030</v>
      </c>
      <c r="M23" s="19">
        <f t="shared" si="53"/>
        <v>0</v>
      </c>
      <c r="N23" s="19">
        <f t="shared" si="53"/>
        <v>9605985</v>
      </c>
      <c r="O23" s="19">
        <f t="shared" si="53"/>
        <v>0</v>
      </c>
      <c r="P23" s="19">
        <f t="shared" si="53"/>
        <v>2866</v>
      </c>
      <c r="Q23" s="19">
        <f t="shared" si="53"/>
        <v>0</v>
      </c>
      <c r="R23" s="19">
        <f t="shared" si="53"/>
        <v>2866</v>
      </c>
      <c r="S23" s="19">
        <f t="shared" si="53"/>
        <v>0</v>
      </c>
      <c r="T23" s="19">
        <f t="shared" si="53"/>
        <v>19370</v>
      </c>
      <c r="U23" s="19">
        <f t="shared" si="53"/>
        <v>0</v>
      </c>
      <c r="V23" s="19">
        <f t="shared" si="53"/>
        <v>19370</v>
      </c>
      <c r="W23" s="19">
        <f t="shared" si="53"/>
        <v>0</v>
      </c>
      <c r="X23" s="19">
        <f t="shared" si="53"/>
        <v>22236</v>
      </c>
      <c r="Y23" s="19">
        <f t="shared" si="53"/>
        <v>0</v>
      </c>
      <c r="Z23" s="19">
        <f t="shared" si="53"/>
        <v>22236</v>
      </c>
      <c r="AA23" s="19">
        <f t="shared" si="53"/>
        <v>5954149</v>
      </c>
      <c r="AB23" s="19">
        <f t="shared" si="53"/>
        <v>4527308</v>
      </c>
      <c r="AC23" s="19">
        <f t="shared" si="53"/>
        <v>0</v>
      </c>
      <c r="AD23" s="19">
        <f t="shared" si="53"/>
        <v>10481457</v>
      </c>
      <c r="AE23" s="19">
        <f t="shared" ref="AE23:AL23" si="54">SUM(AE21+AE22)</f>
        <v>-864194</v>
      </c>
      <c r="AF23" s="19">
        <f t="shared" si="54"/>
        <v>10958</v>
      </c>
      <c r="AG23" s="19">
        <f t="shared" si="54"/>
        <v>0</v>
      </c>
      <c r="AH23" s="19">
        <f t="shared" si="54"/>
        <v>-853236</v>
      </c>
      <c r="AI23" s="19">
        <f t="shared" si="54"/>
        <v>5089955</v>
      </c>
      <c r="AJ23" s="19">
        <f t="shared" si="54"/>
        <v>4538266</v>
      </c>
      <c r="AK23" s="19">
        <f t="shared" si="54"/>
        <v>0</v>
      </c>
      <c r="AL23" s="19">
        <f t="shared" si="54"/>
        <v>9628221</v>
      </c>
    </row>
    <row r="24" spans="1:38" ht="31.5" x14ac:dyDescent="0.25">
      <c r="A24" s="129" t="s">
        <v>991</v>
      </c>
      <c r="B24" s="12" t="s">
        <v>992</v>
      </c>
      <c r="C24" s="2">
        <v>130</v>
      </c>
      <c r="D24" s="528"/>
      <c r="E24" s="2"/>
      <c r="F24" s="6">
        <f>SUM(C24:E24)</f>
        <v>130</v>
      </c>
      <c r="G24" s="6">
        <v>-12</v>
      </c>
      <c r="H24" s="6"/>
      <c r="I24" s="6"/>
      <c r="J24" s="6">
        <f>SUM(G24:I24)</f>
        <v>-12</v>
      </c>
      <c r="K24" s="5">
        <f t="shared" ref="K24" si="55">SUM(G24+C24)</f>
        <v>118</v>
      </c>
      <c r="L24" s="6">
        <f t="shared" ref="L24" si="56">SUM(H24+D24)</f>
        <v>0</v>
      </c>
      <c r="M24" s="6">
        <f t="shared" ref="M24" si="57">SUM(I24+E24)</f>
        <v>0</v>
      </c>
      <c r="N24" s="6">
        <f t="shared" ref="N24" si="58">SUM(K24:M24)</f>
        <v>118</v>
      </c>
      <c r="O24" s="2"/>
      <c r="P24" s="2"/>
      <c r="Q24" s="2"/>
      <c r="R24" s="2">
        <f>SUM(O24:Q24)</f>
        <v>0</v>
      </c>
      <c r="S24" s="2"/>
      <c r="T24" s="2"/>
      <c r="U24" s="2"/>
      <c r="V24" s="2">
        <f>SUM(S24:U24)</f>
        <v>0</v>
      </c>
      <c r="W24" s="2">
        <f>SUM(S24+O24)</f>
        <v>0</v>
      </c>
      <c r="X24" s="2">
        <f>SUM(T24+P24)</f>
        <v>0</v>
      </c>
      <c r="Y24" s="2">
        <f>SUM(Q24+U24)</f>
        <v>0</v>
      </c>
      <c r="Z24" s="2">
        <f>SUM(W24:Y24)</f>
        <v>0</v>
      </c>
      <c r="AA24" s="3">
        <f t="shared" ref="AA24:AC25" si="59">SUM(O24+C24)</f>
        <v>130</v>
      </c>
      <c r="AB24" s="2">
        <f t="shared" si="59"/>
        <v>0</v>
      </c>
      <c r="AC24" s="2">
        <f t="shared" si="59"/>
        <v>0</v>
      </c>
      <c r="AD24" s="2">
        <f>SUM(AA24:AC24)</f>
        <v>130</v>
      </c>
      <c r="AE24" s="3">
        <f t="shared" ref="AE24" si="60">SUM(S24+G24)</f>
        <v>-12</v>
      </c>
      <c r="AF24" s="2">
        <f t="shared" ref="AF24" si="61">SUM(T24+H24)</f>
        <v>0</v>
      </c>
      <c r="AG24" s="2">
        <f t="shared" ref="AG24" si="62">SUM(U24+I24)</f>
        <v>0</v>
      </c>
      <c r="AH24" s="2">
        <f t="shared" ref="AH24" si="63">SUM(AE24:AG24)</f>
        <v>-12</v>
      </c>
      <c r="AI24" s="3">
        <f t="shared" ref="AI24" si="64">SUM(W24+K24)</f>
        <v>118</v>
      </c>
      <c r="AJ24" s="2">
        <f t="shared" ref="AJ24" si="65">SUM(X24+L24)</f>
        <v>0</v>
      </c>
      <c r="AK24" s="2">
        <f t="shared" ref="AK24" si="66">SUM(Y24+M24)</f>
        <v>0</v>
      </c>
      <c r="AL24" s="2">
        <f t="shared" ref="AL24" si="67">SUM(AI24:AK24)</f>
        <v>118</v>
      </c>
    </row>
    <row r="25" spans="1:38" x14ac:dyDescent="0.25">
      <c r="A25" s="12" t="s">
        <v>993</v>
      </c>
      <c r="B25" s="12" t="s">
        <v>196</v>
      </c>
      <c r="C25" s="2">
        <v>2300000</v>
      </c>
      <c r="D25" s="528"/>
      <c r="E25" s="2"/>
      <c r="F25" s="6">
        <f>SUM(C25:E25)</f>
        <v>2300000</v>
      </c>
      <c r="G25" s="6">
        <v>-11315</v>
      </c>
      <c r="H25" s="6"/>
      <c r="I25" s="6"/>
      <c r="J25" s="6">
        <f>SUM(G25:I25)</f>
        <v>-11315</v>
      </c>
      <c r="K25" s="5">
        <f t="shared" ref="K25" si="68">SUM(G25+C25)</f>
        <v>2288685</v>
      </c>
      <c r="L25" s="6">
        <f t="shared" ref="L25" si="69">SUM(H25+D25)</f>
        <v>0</v>
      </c>
      <c r="M25" s="6">
        <f t="shared" ref="M25" si="70">SUM(I25+E25)</f>
        <v>0</v>
      </c>
      <c r="N25" s="6">
        <f t="shared" ref="N25" si="71">SUM(K25:M25)</f>
        <v>2288685</v>
      </c>
      <c r="O25" s="2"/>
      <c r="P25" s="2"/>
      <c r="Q25" s="2"/>
      <c r="R25" s="2">
        <f>SUM(O25:Q25)</f>
        <v>0</v>
      </c>
      <c r="S25" s="2"/>
      <c r="T25" s="2"/>
      <c r="U25" s="2"/>
      <c r="V25" s="2">
        <f>SUM(S25:U25)</f>
        <v>0</v>
      </c>
      <c r="W25" s="2">
        <f>SUM(S25+O25)</f>
        <v>0</v>
      </c>
      <c r="X25" s="2">
        <f>SUM(T25+P25)</f>
        <v>0</v>
      </c>
      <c r="Y25" s="2">
        <f>SUM(Q25+U25)</f>
        <v>0</v>
      </c>
      <c r="Z25" s="2">
        <f>SUM(W25:Y25)</f>
        <v>0</v>
      </c>
      <c r="AA25" s="3">
        <f t="shared" si="59"/>
        <v>2300000</v>
      </c>
      <c r="AB25" s="2">
        <f t="shared" si="59"/>
        <v>0</v>
      </c>
      <c r="AC25" s="2">
        <f t="shared" si="59"/>
        <v>0</v>
      </c>
      <c r="AD25" s="2">
        <f>SUM(AA25:AC25)</f>
        <v>2300000</v>
      </c>
      <c r="AE25" s="3">
        <f t="shared" ref="AE25:AG25" si="72">SUM(S25+G25)</f>
        <v>-11315</v>
      </c>
      <c r="AF25" s="2">
        <f t="shared" si="72"/>
        <v>0</v>
      </c>
      <c r="AG25" s="2">
        <f t="shared" si="72"/>
        <v>0</v>
      </c>
      <c r="AH25" s="2">
        <f t="shared" ref="AH25" si="73">SUM(AE25:AG25)</f>
        <v>-11315</v>
      </c>
      <c r="AI25" s="3">
        <f t="shared" ref="AI25:AK25" si="74">SUM(W25+K25)</f>
        <v>2288685</v>
      </c>
      <c r="AJ25" s="2">
        <f t="shared" si="74"/>
        <v>0</v>
      </c>
      <c r="AK25" s="2">
        <f t="shared" si="74"/>
        <v>0</v>
      </c>
      <c r="AL25" s="2">
        <f t="shared" ref="AL25" si="75">SUM(AI25:AK25)</f>
        <v>2288685</v>
      </c>
    </row>
    <row r="26" spans="1:38" s="128" customFormat="1" x14ac:dyDescent="0.25">
      <c r="A26" s="127" t="s">
        <v>994</v>
      </c>
      <c r="B26" s="127" t="s">
        <v>196</v>
      </c>
      <c r="C26" s="7">
        <f t="shared" ref="C26:F26" si="76">SUM(C25:C25)</f>
        <v>2300000</v>
      </c>
      <c r="D26" s="7">
        <f t="shared" si="76"/>
        <v>0</v>
      </c>
      <c r="E26" s="7">
        <f t="shared" si="76"/>
        <v>0</v>
      </c>
      <c r="F26" s="7">
        <f t="shared" si="76"/>
        <v>2300000</v>
      </c>
      <c r="G26" s="7">
        <f t="shared" ref="G26:AD26" si="77">SUM(G25:G25)</f>
        <v>-11315</v>
      </c>
      <c r="H26" s="7">
        <f t="shared" si="77"/>
        <v>0</v>
      </c>
      <c r="I26" s="7">
        <f t="shared" si="77"/>
        <v>0</v>
      </c>
      <c r="J26" s="7">
        <f t="shared" si="77"/>
        <v>-11315</v>
      </c>
      <c r="K26" s="7">
        <f t="shared" si="77"/>
        <v>2288685</v>
      </c>
      <c r="L26" s="7">
        <f t="shared" si="77"/>
        <v>0</v>
      </c>
      <c r="M26" s="7">
        <f t="shared" si="77"/>
        <v>0</v>
      </c>
      <c r="N26" s="7">
        <f t="shared" si="77"/>
        <v>2288685</v>
      </c>
      <c r="O26" s="7">
        <f t="shared" si="77"/>
        <v>0</v>
      </c>
      <c r="P26" s="7">
        <f t="shared" si="77"/>
        <v>0</v>
      </c>
      <c r="Q26" s="7">
        <f t="shared" si="77"/>
        <v>0</v>
      </c>
      <c r="R26" s="7">
        <f t="shared" si="77"/>
        <v>0</v>
      </c>
      <c r="S26" s="7">
        <f t="shared" si="77"/>
        <v>0</v>
      </c>
      <c r="T26" s="7">
        <f t="shared" si="77"/>
        <v>0</v>
      </c>
      <c r="U26" s="7">
        <f t="shared" si="77"/>
        <v>0</v>
      </c>
      <c r="V26" s="7">
        <f t="shared" si="77"/>
        <v>0</v>
      </c>
      <c r="W26" s="7">
        <f t="shared" si="77"/>
        <v>0</v>
      </c>
      <c r="X26" s="7">
        <f t="shared" si="77"/>
        <v>0</v>
      </c>
      <c r="Y26" s="7">
        <f t="shared" si="77"/>
        <v>0</v>
      </c>
      <c r="Z26" s="7">
        <f t="shared" si="77"/>
        <v>0</v>
      </c>
      <c r="AA26" s="7">
        <f t="shared" si="77"/>
        <v>2300000</v>
      </c>
      <c r="AB26" s="7">
        <f t="shared" si="77"/>
        <v>0</v>
      </c>
      <c r="AC26" s="7">
        <f t="shared" si="77"/>
        <v>0</v>
      </c>
      <c r="AD26" s="7">
        <f t="shared" si="77"/>
        <v>2300000</v>
      </c>
      <c r="AE26" s="7">
        <f t="shared" ref="AE26:AL26" si="78">SUM(AE25:AE25)</f>
        <v>-11315</v>
      </c>
      <c r="AF26" s="7">
        <f t="shared" si="78"/>
        <v>0</v>
      </c>
      <c r="AG26" s="7">
        <f t="shared" si="78"/>
        <v>0</v>
      </c>
      <c r="AH26" s="7">
        <f t="shared" si="78"/>
        <v>-11315</v>
      </c>
      <c r="AI26" s="7">
        <f t="shared" si="78"/>
        <v>2288685</v>
      </c>
      <c r="AJ26" s="7">
        <f t="shared" si="78"/>
        <v>0</v>
      </c>
      <c r="AK26" s="7">
        <f t="shared" si="78"/>
        <v>0</v>
      </c>
      <c r="AL26" s="7">
        <f t="shared" si="78"/>
        <v>2288685</v>
      </c>
    </row>
    <row r="27" spans="1:38" x14ac:dyDescent="0.25">
      <c r="A27" s="12" t="s">
        <v>995</v>
      </c>
      <c r="B27" s="12" t="s">
        <v>197</v>
      </c>
      <c r="C27" s="2">
        <v>15752195</v>
      </c>
      <c r="D27" s="528"/>
      <c r="E27" s="2"/>
      <c r="F27" s="6">
        <f>SUM(C27:E27)</f>
        <v>15752195</v>
      </c>
      <c r="G27" s="6">
        <v>1301231</v>
      </c>
      <c r="H27" s="6"/>
      <c r="I27" s="6"/>
      <c r="J27" s="6">
        <f>SUM(G27:I27)</f>
        <v>1301231</v>
      </c>
      <c r="K27" s="5">
        <f t="shared" ref="K27" si="79">SUM(G27+C27)</f>
        <v>17053426</v>
      </c>
      <c r="L27" s="6">
        <f t="shared" ref="L27" si="80">SUM(H27+D27)</f>
        <v>0</v>
      </c>
      <c r="M27" s="6">
        <f t="shared" ref="M27" si="81">SUM(I27+E27)</f>
        <v>0</v>
      </c>
      <c r="N27" s="6">
        <f t="shared" ref="N27" si="82">SUM(K27:M27)</f>
        <v>17053426</v>
      </c>
      <c r="O27" s="2"/>
      <c r="P27" s="2"/>
      <c r="Q27" s="2"/>
      <c r="R27" s="2">
        <f>SUM(O27:Q27)</f>
        <v>0</v>
      </c>
      <c r="S27" s="2"/>
      <c r="T27" s="2"/>
      <c r="U27" s="2"/>
      <c r="V27" s="2">
        <f>SUM(S27:U27)</f>
        <v>0</v>
      </c>
      <c r="W27" s="2">
        <f>SUM(S27+O27)</f>
        <v>0</v>
      </c>
      <c r="X27" s="2">
        <f>SUM(T27+P27)</f>
        <v>0</v>
      </c>
      <c r="Y27" s="2">
        <f>SUM(Q27+U27)</f>
        <v>0</v>
      </c>
      <c r="Z27" s="2">
        <f>SUM(W27:Y27)</f>
        <v>0</v>
      </c>
      <c r="AA27" s="3">
        <f>SUM(O27+C27)</f>
        <v>15752195</v>
      </c>
      <c r="AB27" s="2">
        <f>SUM(P27+D27)</f>
        <v>0</v>
      </c>
      <c r="AC27" s="2">
        <f>SUM(Q27+E27)</f>
        <v>0</v>
      </c>
      <c r="AD27" s="2">
        <f>SUM(AA27:AC27)</f>
        <v>15752195</v>
      </c>
      <c r="AE27" s="3">
        <f t="shared" ref="AE27:AG27" si="83">SUM(S27+G27)</f>
        <v>1301231</v>
      </c>
      <c r="AF27" s="2">
        <f t="shared" si="83"/>
        <v>0</v>
      </c>
      <c r="AG27" s="2">
        <f t="shared" si="83"/>
        <v>0</v>
      </c>
      <c r="AH27" s="2">
        <f t="shared" ref="AH27" si="84">SUM(AE27:AG27)</f>
        <v>1301231</v>
      </c>
      <c r="AI27" s="3">
        <f t="shared" ref="AI27:AK27" si="85">SUM(W27+K27)</f>
        <v>17053426</v>
      </c>
      <c r="AJ27" s="2">
        <f t="shared" si="85"/>
        <v>0</v>
      </c>
      <c r="AK27" s="2">
        <f t="shared" si="85"/>
        <v>0</v>
      </c>
      <c r="AL27" s="2">
        <f t="shared" ref="AL27" si="86">SUM(AI27:AK27)</f>
        <v>17053426</v>
      </c>
    </row>
    <row r="28" spans="1:38" s="131" customFormat="1" x14ac:dyDescent="0.25">
      <c r="A28" s="127" t="s">
        <v>996</v>
      </c>
      <c r="B28" s="127" t="s">
        <v>197</v>
      </c>
      <c r="C28" s="7">
        <f>SUM(C27)</f>
        <v>15752195</v>
      </c>
      <c r="D28" s="7">
        <f t="shared" ref="D28:F28" si="87">SUM(D27)</f>
        <v>0</v>
      </c>
      <c r="E28" s="7">
        <f t="shared" si="87"/>
        <v>0</v>
      </c>
      <c r="F28" s="7">
        <f t="shared" si="87"/>
        <v>15752195</v>
      </c>
      <c r="G28" s="7">
        <f t="shared" ref="G28:AD28" si="88">SUM(G27)</f>
        <v>1301231</v>
      </c>
      <c r="H28" s="7">
        <f t="shared" si="88"/>
        <v>0</v>
      </c>
      <c r="I28" s="7">
        <f t="shared" si="88"/>
        <v>0</v>
      </c>
      <c r="J28" s="7">
        <f t="shared" si="88"/>
        <v>1301231</v>
      </c>
      <c r="K28" s="7">
        <f t="shared" si="88"/>
        <v>17053426</v>
      </c>
      <c r="L28" s="7">
        <f t="shared" si="88"/>
        <v>0</v>
      </c>
      <c r="M28" s="7">
        <f t="shared" si="88"/>
        <v>0</v>
      </c>
      <c r="N28" s="7">
        <f t="shared" si="88"/>
        <v>17053426</v>
      </c>
      <c r="O28" s="7">
        <f t="shared" ref="O28:Q28" si="89">SUM(O27)</f>
        <v>0</v>
      </c>
      <c r="P28" s="7">
        <f t="shared" si="89"/>
        <v>0</v>
      </c>
      <c r="Q28" s="7">
        <f t="shared" si="89"/>
        <v>0</v>
      </c>
      <c r="R28" s="7">
        <f t="shared" si="88"/>
        <v>0</v>
      </c>
      <c r="S28" s="7">
        <f t="shared" si="88"/>
        <v>0</v>
      </c>
      <c r="T28" s="7">
        <f t="shared" si="88"/>
        <v>0</v>
      </c>
      <c r="U28" s="7">
        <f t="shared" si="88"/>
        <v>0</v>
      </c>
      <c r="V28" s="7">
        <f t="shared" si="88"/>
        <v>0</v>
      </c>
      <c r="W28" s="7">
        <f t="shared" si="88"/>
        <v>0</v>
      </c>
      <c r="X28" s="7">
        <f t="shared" si="88"/>
        <v>0</v>
      </c>
      <c r="Y28" s="7">
        <f t="shared" si="88"/>
        <v>0</v>
      </c>
      <c r="Z28" s="7">
        <f t="shared" si="88"/>
        <v>0</v>
      </c>
      <c r="AA28" s="7">
        <f t="shared" si="88"/>
        <v>15752195</v>
      </c>
      <c r="AB28" s="7">
        <f t="shared" si="88"/>
        <v>0</v>
      </c>
      <c r="AC28" s="7">
        <f t="shared" si="88"/>
        <v>0</v>
      </c>
      <c r="AD28" s="7">
        <f t="shared" si="88"/>
        <v>15752195</v>
      </c>
      <c r="AE28" s="7">
        <f t="shared" ref="AE28:AL28" si="90">SUM(AE27)</f>
        <v>1301231</v>
      </c>
      <c r="AF28" s="7">
        <f t="shared" si="90"/>
        <v>0</v>
      </c>
      <c r="AG28" s="7">
        <f t="shared" si="90"/>
        <v>0</v>
      </c>
      <c r="AH28" s="7">
        <f t="shared" si="90"/>
        <v>1301231</v>
      </c>
      <c r="AI28" s="7">
        <f t="shared" si="90"/>
        <v>17053426</v>
      </c>
      <c r="AJ28" s="7">
        <f t="shared" si="90"/>
        <v>0</v>
      </c>
      <c r="AK28" s="7">
        <f t="shared" si="90"/>
        <v>0</v>
      </c>
      <c r="AL28" s="7">
        <f t="shared" si="90"/>
        <v>17053426</v>
      </c>
    </row>
    <row r="29" spans="1:38" s="131" customFormat="1" x14ac:dyDescent="0.25">
      <c r="A29" s="127" t="s">
        <v>997</v>
      </c>
      <c r="B29" s="127" t="s">
        <v>198</v>
      </c>
      <c r="C29" s="7">
        <v>0</v>
      </c>
      <c r="D29" s="529"/>
      <c r="E29" s="7"/>
      <c r="F29" s="10">
        <f>SUM(C29:E29)</f>
        <v>0</v>
      </c>
      <c r="G29" s="10"/>
      <c r="H29" s="10"/>
      <c r="I29" s="10"/>
      <c r="J29" s="10">
        <f>SUM(G29:I29)</f>
        <v>0</v>
      </c>
      <c r="K29" s="7">
        <f t="shared" ref="K29:K30" si="91">SUM(G29+C29)</f>
        <v>0</v>
      </c>
      <c r="L29" s="10">
        <f t="shared" ref="L29:L30" si="92">SUM(H29+D29)</f>
        <v>0</v>
      </c>
      <c r="M29" s="10">
        <f t="shared" ref="M29:M30" si="93">SUM(I29+E29)</f>
        <v>0</v>
      </c>
      <c r="N29" s="10">
        <f t="shared" ref="N29:N30" si="94">SUM(K29:M29)</f>
        <v>0</v>
      </c>
      <c r="O29" s="11"/>
      <c r="P29" s="11"/>
      <c r="Q29" s="11"/>
      <c r="R29" s="11"/>
      <c r="S29" s="11"/>
      <c r="T29" s="11"/>
      <c r="U29" s="11"/>
      <c r="V29" s="11">
        <f>SUM(S29:U29)</f>
        <v>0</v>
      </c>
      <c r="W29" s="11">
        <f t="shared" ref="W29:W30" si="95">SUM(S29+O29)</f>
        <v>0</v>
      </c>
      <c r="X29" s="11">
        <f t="shared" ref="X29:X30" si="96">SUM(T29+P29)</f>
        <v>0</v>
      </c>
      <c r="Y29" s="11">
        <f t="shared" ref="Y29:Y30" si="97">SUM(Q29+U29)</f>
        <v>0</v>
      </c>
      <c r="Z29" s="11">
        <f t="shared" ref="Z29:Z30" si="98">SUM(W29:Y29)</f>
        <v>0</v>
      </c>
      <c r="AA29" s="7">
        <f t="shared" ref="AA29:AC30" si="99">SUM(O29+C29)</f>
        <v>0</v>
      </c>
      <c r="AB29" s="11">
        <f t="shared" si="99"/>
        <v>0</v>
      </c>
      <c r="AC29" s="11">
        <f t="shared" si="99"/>
        <v>0</v>
      </c>
      <c r="AD29" s="11">
        <f>SUM(AA29:AC29)</f>
        <v>0</v>
      </c>
      <c r="AE29" s="7">
        <f t="shared" ref="AE29:AG30" si="100">SUM(S29+G29)</f>
        <v>0</v>
      </c>
      <c r="AF29" s="11">
        <f t="shared" si="100"/>
        <v>0</v>
      </c>
      <c r="AG29" s="11">
        <f t="shared" si="100"/>
        <v>0</v>
      </c>
      <c r="AH29" s="11">
        <f t="shared" ref="AH29:AH30" si="101">SUM(AE29:AG29)</f>
        <v>0</v>
      </c>
      <c r="AI29" s="7">
        <f t="shared" ref="AI29:AK30" si="102">SUM(W29+K29)</f>
        <v>0</v>
      </c>
      <c r="AJ29" s="11">
        <f t="shared" si="102"/>
        <v>0</v>
      </c>
      <c r="AK29" s="11">
        <f t="shared" si="102"/>
        <v>0</v>
      </c>
      <c r="AL29" s="11">
        <f t="shared" ref="AL29:AL30" si="103">SUM(AI29:AK29)</f>
        <v>0</v>
      </c>
    </row>
    <row r="30" spans="1:38" x14ac:dyDescent="0.25">
      <c r="A30" s="12" t="s">
        <v>998</v>
      </c>
      <c r="B30" s="12" t="s">
        <v>199</v>
      </c>
      <c r="C30" s="2">
        <v>16082</v>
      </c>
      <c r="D30" s="528"/>
      <c r="E30" s="2"/>
      <c r="F30" s="6">
        <f>SUM(C30:E30)</f>
        <v>16082</v>
      </c>
      <c r="G30" s="6">
        <v>50</v>
      </c>
      <c r="H30" s="6"/>
      <c r="I30" s="6"/>
      <c r="J30" s="6">
        <f>SUM(G30:I30)</f>
        <v>50</v>
      </c>
      <c r="K30" s="5">
        <f t="shared" si="91"/>
        <v>16132</v>
      </c>
      <c r="L30" s="6">
        <f t="shared" si="92"/>
        <v>0</v>
      </c>
      <c r="M30" s="6">
        <f t="shared" si="93"/>
        <v>0</v>
      </c>
      <c r="N30" s="6">
        <f t="shared" si="94"/>
        <v>16132</v>
      </c>
      <c r="O30" s="2"/>
      <c r="P30" s="2"/>
      <c r="Q30" s="2"/>
      <c r="R30" s="2">
        <f>SUM(O30:Q30)</f>
        <v>0</v>
      </c>
      <c r="S30" s="2"/>
      <c r="T30" s="2"/>
      <c r="U30" s="2"/>
      <c r="V30" s="2">
        <f>SUM(S30:U30)</f>
        <v>0</v>
      </c>
      <c r="W30" s="2">
        <f t="shared" si="95"/>
        <v>0</v>
      </c>
      <c r="X30" s="2">
        <f t="shared" si="96"/>
        <v>0</v>
      </c>
      <c r="Y30" s="2">
        <f t="shared" si="97"/>
        <v>0</v>
      </c>
      <c r="Z30" s="2">
        <f t="shared" si="98"/>
        <v>0</v>
      </c>
      <c r="AA30" s="3">
        <f t="shared" si="99"/>
        <v>16082</v>
      </c>
      <c r="AB30" s="2">
        <f t="shared" si="99"/>
        <v>0</v>
      </c>
      <c r="AC30" s="2">
        <f t="shared" si="99"/>
        <v>0</v>
      </c>
      <c r="AD30" s="3">
        <f>SUM(AA30:AC30)</f>
        <v>16082</v>
      </c>
      <c r="AE30" s="3">
        <f t="shared" si="100"/>
        <v>50</v>
      </c>
      <c r="AF30" s="2">
        <f t="shared" si="100"/>
        <v>0</v>
      </c>
      <c r="AG30" s="2">
        <f t="shared" si="100"/>
        <v>0</v>
      </c>
      <c r="AH30" s="2">
        <f t="shared" si="101"/>
        <v>50</v>
      </c>
      <c r="AI30" s="3">
        <f t="shared" si="102"/>
        <v>16132</v>
      </c>
      <c r="AJ30" s="2">
        <f t="shared" si="102"/>
        <v>0</v>
      </c>
      <c r="AK30" s="2">
        <f t="shared" si="102"/>
        <v>0</v>
      </c>
      <c r="AL30" s="2">
        <f t="shared" si="103"/>
        <v>16132</v>
      </c>
    </row>
    <row r="31" spans="1:38" x14ac:dyDescent="0.25">
      <c r="A31" s="12" t="s">
        <v>999</v>
      </c>
      <c r="B31" s="12" t="s">
        <v>199</v>
      </c>
      <c r="C31" s="2">
        <v>0</v>
      </c>
      <c r="D31" s="528"/>
      <c r="E31" s="2"/>
      <c r="F31" s="6">
        <f>SUM(C31:E31)</f>
        <v>0</v>
      </c>
      <c r="G31" s="6">
        <v>0</v>
      </c>
      <c r="H31" s="6"/>
      <c r="I31" s="6"/>
      <c r="J31" s="6">
        <f>SUM(G31:I31)</f>
        <v>0</v>
      </c>
      <c r="K31" s="5">
        <f t="shared" ref="K31" si="104">SUM(G31+C31)</f>
        <v>0</v>
      </c>
      <c r="L31" s="6">
        <f t="shared" ref="L31" si="105">SUM(H31+D31)</f>
        <v>0</v>
      </c>
      <c r="M31" s="6">
        <f t="shared" ref="M31" si="106">SUM(I31+E31)</f>
        <v>0</v>
      </c>
      <c r="N31" s="6">
        <f t="shared" ref="N31" si="107">SUM(K31:M31)</f>
        <v>0</v>
      </c>
      <c r="O31" s="2"/>
      <c r="P31" s="2"/>
      <c r="Q31" s="2"/>
      <c r="R31" s="2">
        <f>SUM(O31:Q31)</f>
        <v>0</v>
      </c>
      <c r="S31" s="2"/>
      <c r="T31" s="2"/>
      <c r="U31" s="2"/>
      <c r="V31" s="2">
        <f>SUM(S31:U31)</f>
        <v>0</v>
      </c>
      <c r="W31" s="2">
        <f t="shared" ref="W31" si="108">SUM(S31+O31)</f>
        <v>0</v>
      </c>
      <c r="X31" s="2">
        <f t="shared" ref="X31" si="109">SUM(T31+P31)</f>
        <v>0</v>
      </c>
      <c r="Y31" s="2">
        <f t="shared" ref="Y31" si="110">SUM(Q31+U31)</f>
        <v>0</v>
      </c>
      <c r="Z31" s="2">
        <f t="shared" ref="Z31" si="111">SUM(W31:Y31)</f>
        <v>0</v>
      </c>
      <c r="AA31" s="3">
        <f t="shared" ref="AA31" si="112">SUM(O31+C31)</f>
        <v>0</v>
      </c>
      <c r="AB31" s="2">
        <f t="shared" ref="AB31" si="113">SUM(P31+D31)</f>
        <v>0</v>
      </c>
      <c r="AC31" s="2">
        <f t="shared" ref="AC31" si="114">SUM(Q31+E31)</f>
        <v>0</v>
      </c>
      <c r="AD31" s="3">
        <f>SUM(AA31:AC31)</f>
        <v>0</v>
      </c>
      <c r="AE31" s="3">
        <f t="shared" ref="AE31" si="115">SUM(S31+G31)</f>
        <v>0</v>
      </c>
      <c r="AF31" s="2">
        <f t="shared" ref="AF31" si="116">SUM(T31+H31)</f>
        <v>0</v>
      </c>
      <c r="AG31" s="2">
        <f t="shared" ref="AG31" si="117">SUM(U31+I31)</f>
        <v>0</v>
      </c>
      <c r="AH31" s="2">
        <f t="shared" ref="AH31" si="118">SUM(AE31:AG31)</f>
        <v>0</v>
      </c>
      <c r="AI31" s="3">
        <f t="shared" ref="AI31" si="119">SUM(W31+K31)</f>
        <v>0</v>
      </c>
      <c r="AJ31" s="2">
        <f t="shared" ref="AJ31" si="120">SUM(X31+L31)</f>
        <v>0</v>
      </c>
      <c r="AK31" s="2">
        <f t="shared" ref="AK31" si="121">SUM(Y31+M31)</f>
        <v>0</v>
      </c>
      <c r="AL31" s="2">
        <f t="shared" ref="AL31" si="122">SUM(AI31:AK31)</f>
        <v>0</v>
      </c>
    </row>
    <row r="32" spans="1:38" s="131" customFormat="1" ht="31.5" x14ac:dyDescent="0.25">
      <c r="A32" s="127" t="s">
        <v>1000</v>
      </c>
      <c r="B32" s="127" t="s">
        <v>199</v>
      </c>
      <c r="C32" s="7">
        <f>SUM(C30:C31)</f>
        <v>16082</v>
      </c>
      <c r="D32" s="7">
        <f t="shared" ref="D32:F32" si="123">SUM(D30:D31)</f>
        <v>0</v>
      </c>
      <c r="E32" s="7">
        <f t="shared" si="123"/>
        <v>0</v>
      </c>
      <c r="F32" s="7">
        <f t="shared" si="123"/>
        <v>16082</v>
      </c>
      <c r="G32" s="7">
        <f>SUM(G30:G31)</f>
        <v>50</v>
      </c>
      <c r="H32" s="7">
        <f t="shared" ref="H32:J32" si="124">SUM(H30:H31)</f>
        <v>0</v>
      </c>
      <c r="I32" s="7">
        <f t="shared" si="124"/>
        <v>0</v>
      </c>
      <c r="J32" s="7">
        <f t="shared" si="124"/>
        <v>50</v>
      </c>
      <c r="K32" s="7">
        <f>SUM(K30:K31)</f>
        <v>16132</v>
      </c>
      <c r="L32" s="7">
        <f t="shared" ref="L32:N32" si="125">SUM(L30:L31)</f>
        <v>0</v>
      </c>
      <c r="M32" s="7">
        <f t="shared" si="125"/>
        <v>0</v>
      </c>
      <c r="N32" s="7">
        <f t="shared" si="125"/>
        <v>16132</v>
      </c>
      <c r="O32" s="7">
        <f>SUM(O30:O31)</f>
        <v>0</v>
      </c>
      <c r="P32" s="7">
        <f t="shared" ref="P32:R32" si="126">SUM(P30:P31)</f>
        <v>0</v>
      </c>
      <c r="Q32" s="7">
        <f t="shared" si="126"/>
        <v>0</v>
      </c>
      <c r="R32" s="7">
        <f t="shared" si="126"/>
        <v>0</v>
      </c>
      <c r="S32" s="7">
        <f>SUM(S30:S31)</f>
        <v>0</v>
      </c>
      <c r="T32" s="7">
        <f t="shared" ref="T32:AL32" si="127">SUM(T30:T31)</f>
        <v>0</v>
      </c>
      <c r="U32" s="7">
        <f t="shared" si="127"/>
        <v>0</v>
      </c>
      <c r="V32" s="7">
        <f t="shared" si="127"/>
        <v>0</v>
      </c>
      <c r="W32" s="7">
        <f t="shared" si="127"/>
        <v>0</v>
      </c>
      <c r="X32" s="7">
        <f t="shared" si="127"/>
        <v>0</v>
      </c>
      <c r="Y32" s="7">
        <f t="shared" si="127"/>
        <v>0</v>
      </c>
      <c r="Z32" s="7">
        <f t="shared" si="127"/>
        <v>0</v>
      </c>
      <c r="AA32" s="7">
        <f t="shared" si="127"/>
        <v>16082</v>
      </c>
      <c r="AB32" s="7">
        <f t="shared" si="127"/>
        <v>0</v>
      </c>
      <c r="AC32" s="7">
        <f t="shared" si="127"/>
        <v>0</v>
      </c>
      <c r="AD32" s="7">
        <f t="shared" si="127"/>
        <v>16082</v>
      </c>
      <c r="AE32" s="7">
        <f t="shared" si="127"/>
        <v>50</v>
      </c>
      <c r="AF32" s="7">
        <f t="shared" si="127"/>
        <v>0</v>
      </c>
      <c r="AG32" s="7">
        <f t="shared" si="127"/>
        <v>0</v>
      </c>
      <c r="AH32" s="7">
        <f t="shared" si="127"/>
        <v>50</v>
      </c>
      <c r="AI32" s="7">
        <f t="shared" si="127"/>
        <v>16132</v>
      </c>
      <c r="AJ32" s="7">
        <f t="shared" si="127"/>
        <v>0</v>
      </c>
      <c r="AK32" s="7">
        <f t="shared" si="127"/>
        <v>0</v>
      </c>
      <c r="AL32" s="7">
        <f t="shared" si="127"/>
        <v>16132</v>
      </c>
    </row>
    <row r="33" spans="1:38" s="131" customFormat="1" ht="31.5" x14ac:dyDescent="0.25">
      <c r="A33" s="127" t="s">
        <v>1001</v>
      </c>
      <c r="B33" s="127" t="s">
        <v>200</v>
      </c>
      <c r="C33" s="7">
        <f t="shared" ref="C33:F33" si="128">SUM(C32+C29+C28)</f>
        <v>15768277</v>
      </c>
      <c r="D33" s="7">
        <f t="shared" si="128"/>
        <v>0</v>
      </c>
      <c r="E33" s="7">
        <f t="shared" si="128"/>
        <v>0</v>
      </c>
      <c r="F33" s="7">
        <f t="shared" si="128"/>
        <v>15768277</v>
      </c>
      <c r="G33" s="7">
        <f t="shared" ref="G33:AL33" si="129">SUM(G32+G29+G28)</f>
        <v>1301281</v>
      </c>
      <c r="H33" s="7">
        <f t="shared" si="129"/>
        <v>0</v>
      </c>
      <c r="I33" s="7">
        <f t="shared" si="129"/>
        <v>0</v>
      </c>
      <c r="J33" s="7">
        <f t="shared" si="129"/>
        <v>1301281</v>
      </c>
      <c r="K33" s="7">
        <f t="shared" si="129"/>
        <v>17069558</v>
      </c>
      <c r="L33" s="7">
        <f t="shared" si="129"/>
        <v>0</v>
      </c>
      <c r="M33" s="7">
        <f t="shared" si="129"/>
        <v>0</v>
      </c>
      <c r="N33" s="7">
        <f t="shared" si="129"/>
        <v>17069558</v>
      </c>
      <c r="O33" s="7">
        <f t="shared" si="129"/>
        <v>0</v>
      </c>
      <c r="P33" s="7">
        <f t="shared" si="129"/>
        <v>0</v>
      </c>
      <c r="Q33" s="7">
        <f t="shared" si="129"/>
        <v>0</v>
      </c>
      <c r="R33" s="7">
        <f t="shared" si="129"/>
        <v>0</v>
      </c>
      <c r="S33" s="7">
        <f t="shared" si="129"/>
        <v>0</v>
      </c>
      <c r="T33" s="7">
        <f t="shared" si="129"/>
        <v>0</v>
      </c>
      <c r="U33" s="7">
        <f t="shared" si="129"/>
        <v>0</v>
      </c>
      <c r="V33" s="7">
        <f t="shared" si="129"/>
        <v>0</v>
      </c>
      <c r="W33" s="7">
        <f t="shared" si="129"/>
        <v>0</v>
      </c>
      <c r="X33" s="7">
        <f t="shared" si="129"/>
        <v>0</v>
      </c>
      <c r="Y33" s="7">
        <f t="shared" si="129"/>
        <v>0</v>
      </c>
      <c r="Z33" s="7">
        <f t="shared" si="129"/>
        <v>0</v>
      </c>
      <c r="AA33" s="7">
        <f t="shared" si="129"/>
        <v>15768277</v>
      </c>
      <c r="AB33" s="7">
        <f t="shared" si="129"/>
        <v>0</v>
      </c>
      <c r="AC33" s="7">
        <f t="shared" si="129"/>
        <v>0</v>
      </c>
      <c r="AD33" s="7">
        <f t="shared" si="129"/>
        <v>15768277</v>
      </c>
      <c r="AE33" s="7">
        <f t="shared" si="129"/>
        <v>1301281</v>
      </c>
      <c r="AF33" s="7">
        <f t="shared" si="129"/>
        <v>0</v>
      </c>
      <c r="AG33" s="7">
        <f t="shared" si="129"/>
        <v>0</v>
      </c>
      <c r="AH33" s="7">
        <f t="shared" si="129"/>
        <v>1301281</v>
      </c>
      <c r="AI33" s="7">
        <f t="shared" si="129"/>
        <v>17069558</v>
      </c>
      <c r="AJ33" s="7">
        <f t="shared" si="129"/>
        <v>0</v>
      </c>
      <c r="AK33" s="7">
        <f t="shared" si="129"/>
        <v>0</v>
      </c>
      <c r="AL33" s="7">
        <f t="shared" si="129"/>
        <v>17069558</v>
      </c>
    </row>
    <row r="34" spans="1:38" x14ac:dyDescent="0.25">
      <c r="A34" s="12" t="s">
        <v>1002</v>
      </c>
      <c r="B34" s="12" t="s">
        <v>201</v>
      </c>
      <c r="C34" s="8">
        <v>40000</v>
      </c>
      <c r="D34" s="530"/>
      <c r="E34" s="8"/>
      <c r="F34" s="9">
        <f t="shared" ref="F34:F36" si="130">SUM(C34:E34)</f>
        <v>40000</v>
      </c>
      <c r="G34" s="9">
        <v>-3259</v>
      </c>
      <c r="H34" s="9"/>
      <c r="I34" s="9"/>
      <c r="J34" s="1">
        <f t="shared" ref="J34:J36" si="131">SUM(G34:I34)</f>
        <v>-3259</v>
      </c>
      <c r="K34" s="8">
        <f t="shared" ref="K34:K36" si="132">SUM(G34+C34)</f>
        <v>36741</v>
      </c>
      <c r="L34" s="9">
        <f t="shared" ref="L34:L36" si="133">SUM(H34+D34)</f>
        <v>0</v>
      </c>
      <c r="M34" s="9">
        <f t="shared" ref="M34:M36" si="134">SUM(I34+E34)</f>
        <v>0</v>
      </c>
      <c r="N34" s="9">
        <f t="shared" ref="N34:N36" si="135">SUM(K34:M34)</f>
        <v>36741</v>
      </c>
      <c r="O34" s="2"/>
      <c r="P34" s="2"/>
      <c r="Q34" s="2"/>
      <c r="R34" s="5">
        <f t="shared" ref="R34:R36" si="136">SUM(O34:Q34)</f>
        <v>0</v>
      </c>
      <c r="S34" s="2"/>
      <c r="T34" s="2"/>
      <c r="U34" s="2"/>
      <c r="V34" s="5">
        <f t="shared" ref="V34:V36" si="137">SUM(S34:U34)</f>
        <v>0</v>
      </c>
      <c r="W34" s="2">
        <f t="shared" ref="W34:W36" si="138">SUM(S34+O34)</f>
        <v>0</v>
      </c>
      <c r="X34" s="2">
        <f t="shared" ref="X34:X36" si="139">SUM(T34+P34)</f>
        <v>0</v>
      </c>
      <c r="Y34" s="2">
        <f t="shared" ref="Y34:Y36" si="140">SUM(Q34+U34)</f>
        <v>0</v>
      </c>
      <c r="Z34" s="2">
        <f t="shared" ref="Z34:Z36" si="141">SUM(W34:Y34)</f>
        <v>0</v>
      </c>
      <c r="AA34" s="2">
        <f t="shared" ref="AA34:AC36" si="142">SUM(O34+C34)</f>
        <v>40000</v>
      </c>
      <c r="AB34" s="2">
        <f t="shared" si="142"/>
        <v>0</v>
      </c>
      <c r="AC34" s="2">
        <f t="shared" si="142"/>
        <v>0</v>
      </c>
      <c r="AD34" s="2">
        <f t="shared" ref="AD34:AD36" si="143">SUM(AA34:AC34)</f>
        <v>40000</v>
      </c>
      <c r="AE34" s="2">
        <f t="shared" ref="AE34:AG36" si="144">SUM(S34+G34)</f>
        <v>-3259</v>
      </c>
      <c r="AF34" s="2">
        <f t="shared" si="144"/>
        <v>0</v>
      </c>
      <c r="AG34" s="2">
        <f t="shared" si="144"/>
        <v>0</v>
      </c>
      <c r="AH34" s="2">
        <f t="shared" ref="AH34:AH36" si="145">SUM(AE34:AG34)</f>
        <v>-3259</v>
      </c>
      <c r="AI34" s="2">
        <f t="shared" ref="AI34:AK36" si="146">SUM(W34+K34)</f>
        <v>36741</v>
      </c>
      <c r="AJ34" s="2">
        <f t="shared" si="146"/>
        <v>0</v>
      </c>
      <c r="AK34" s="2">
        <f t="shared" si="146"/>
        <v>0</v>
      </c>
      <c r="AL34" s="2">
        <f t="shared" ref="AL34:AL36" si="147">SUM(AI34:AK34)</f>
        <v>36741</v>
      </c>
    </row>
    <row r="35" spans="1:38" ht="31.5" x14ac:dyDescent="0.25">
      <c r="A35" s="12" t="s">
        <v>1003</v>
      </c>
      <c r="B35" s="12" t="s">
        <v>201</v>
      </c>
      <c r="C35" s="8">
        <v>19680</v>
      </c>
      <c r="D35" s="530"/>
      <c r="E35" s="8"/>
      <c r="F35" s="9">
        <f t="shared" si="130"/>
        <v>19680</v>
      </c>
      <c r="G35" s="9">
        <f>-70+1970-292+540+25</f>
        <v>2173</v>
      </c>
      <c r="H35" s="9"/>
      <c r="I35" s="9"/>
      <c r="J35" s="1">
        <f t="shared" si="131"/>
        <v>2173</v>
      </c>
      <c r="K35" s="8">
        <f t="shared" si="132"/>
        <v>21853</v>
      </c>
      <c r="L35" s="9">
        <f t="shared" si="133"/>
        <v>0</v>
      </c>
      <c r="M35" s="9">
        <f t="shared" si="134"/>
        <v>0</v>
      </c>
      <c r="N35" s="9">
        <f t="shared" si="135"/>
        <v>21853</v>
      </c>
      <c r="O35" s="2"/>
      <c r="P35" s="2"/>
      <c r="Q35" s="2"/>
      <c r="R35" s="5">
        <f t="shared" si="136"/>
        <v>0</v>
      </c>
      <c r="S35" s="2"/>
      <c r="T35" s="2"/>
      <c r="U35" s="2"/>
      <c r="V35" s="5">
        <f t="shared" si="137"/>
        <v>0</v>
      </c>
      <c r="W35" s="2">
        <f t="shared" si="138"/>
        <v>0</v>
      </c>
      <c r="X35" s="2">
        <f t="shared" si="139"/>
        <v>0</v>
      </c>
      <c r="Y35" s="2">
        <f t="shared" si="140"/>
        <v>0</v>
      </c>
      <c r="Z35" s="2">
        <f t="shared" si="141"/>
        <v>0</v>
      </c>
      <c r="AA35" s="2">
        <f t="shared" si="142"/>
        <v>19680</v>
      </c>
      <c r="AB35" s="2">
        <f t="shared" si="142"/>
        <v>0</v>
      </c>
      <c r="AC35" s="2">
        <f t="shared" si="142"/>
        <v>0</v>
      </c>
      <c r="AD35" s="2">
        <f t="shared" si="143"/>
        <v>19680</v>
      </c>
      <c r="AE35" s="2">
        <f t="shared" si="144"/>
        <v>2173</v>
      </c>
      <c r="AF35" s="2">
        <f t="shared" si="144"/>
        <v>0</v>
      </c>
      <c r="AG35" s="2">
        <f t="shared" si="144"/>
        <v>0</v>
      </c>
      <c r="AH35" s="2">
        <f t="shared" si="145"/>
        <v>2173</v>
      </c>
      <c r="AI35" s="2">
        <f t="shared" si="146"/>
        <v>21853</v>
      </c>
      <c r="AJ35" s="2">
        <f t="shared" si="146"/>
        <v>0</v>
      </c>
      <c r="AK35" s="2">
        <f t="shared" si="146"/>
        <v>0</v>
      </c>
      <c r="AL35" s="2">
        <f t="shared" si="147"/>
        <v>21853</v>
      </c>
    </row>
    <row r="36" spans="1:38" x14ac:dyDescent="0.25">
      <c r="A36" s="12" t="s">
        <v>1004</v>
      </c>
      <c r="B36" s="12" t="s">
        <v>201</v>
      </c>
      <c r="C36" s="8">
        <v>400</v>
      </c>
      <c r="D36" s="530"/>
      <c r="E36" s="8"/>
      <c r="F36" s="9">
        <f t="shared" si="130"/>
        <v>400</v>
      </c>
      <c r="G36" s="9">
        <v>-59</v>
      </c>
      <c r="H36" s="9"/>
      <c r="I36" s="9"/>
      <c r="J36" s="1">
        <f t="shared" si="131"/>
        <v>-59</v>
      </c>
      <c r="K36" s="8">
        <f t="shared" si="132"/>
        <v>341</v>
      </c>
      <c r="L36" s="9">
        <f t="shared" si="133"/>
        <v>0</v>
      </c>
      <c r="M36" s="9">
        <f t="shared" si="134"/>
        <v>0</v>
      </c>
      <c r="N36" s="9">
        <f t="shared" si="135"/>
        <v>341</v>
      </c>
      <c r="O36" s="2"/>
      <c r="P36" s="2"/>
      <c r="Q36" s="2">
        <v>1207</v>
      </c>
      <c r="R36" s="5">
        <f t="shared" si="136"/>
        <v>1207</v>
      </c>
      <c r="S36" s="2"/>
      <c r="T36" s="2"/>
      <c r="U36" s="2"/>
      <c r="V36" s="5">
        <f t="shared" si="137"/>
        <v>0</v>
      </c>
      <c r="W36" s="2">
        <f t="shared" si="138"/>
        <v>0</v>
      </c>
      <c r="X36" s="2">
        <f t="shared" si="139"/>
        <v>0</v>
      </c>
      <c r="Y36" s="2">
        <f t="shared" si="140"/>
        <v>1207</v>
      </c>
      <c r="Z36" s="2">
        <f t="shared" si="141"/>
        <v>1207</v>
      </c>
      <c r="AA36" s="2">
        <f t="shared" si="142"/>
        <v>400</v>
      </c>
      <c r="AB36" s="2">
        <f t="shared" si="142"/>
        <v>0</v>
      </c>
      <c r="AC36" s="2">
        <f t="shared" si="142"/>
        <v>1207</v>
      </c>
      <c r="AD36" s="2">
        <f t="shared" si="143"/>
        <v>1607</v>
      </c>
      <c r="AE36" s="2">
        <f t="shared" si="144"/>
        <v>-59</v>
      </c>
      <c r="AF36" s="2">
        <f t="shared" si="144"/>
        <v>0</v>
      </c>
      <c r="AG36" s="2">
        <f t="shared" si="144"/>
        <v>0</v>
      </c>
      <c r="AH36" s="2">
        <f t="shared" si="145"/>
        <v>-59</v>
      </c>
      <c r="AI36" s="2">
        <f t="shared" si="146"/>
        <v>341</v>
      </c>
      <c r="AJ36" s="2">
        <f t="shared" si="146"/>
        <v>0</v>
      </c>
      <c r="AK36" s="2">
        <f t="shared" si="146"/>
        <v>1207</v>
      </c>
      <c r="AL36" s="2">
        <f t="shared" si="147"/>
        <v>1548</v>
      </c>
    </row>
    <row r="37" spans="1:38" s="131" customFormat="1" ht="31.5" x14ac:dyDescent="0.25">
      <c r="A37" s="127" t="s">
        <v>1005</v>
      </c>
      <c r="B37" s="127" t="s">
        <v>201</v>
      </c>
      <c r="C37" s="7">
        <f t="shared" ref="C37:AL37" si="148">SUM(C34:C36)</f>
        <v>60080</v>
      </c>
      <c r="D37" s="7">
        <f t="shared" si="148"/>
        <v>0</v>
      </c>
      <c r="E37" s="7">
        <f t="shared" si="148"/>
        <v>0</v>
      </c>
      <c r="F37" s="7">
        <f t="shared" si="148"/>
        <v>60080</v>
      </c>
      <c r="G37" s="7">
        <f t="shared" si="148"/>
        <v>-1145</v>
      </c>
      <c r="H37" s="7">
        <f t="shared" si="148"/>
        <v>0</v>
      </c>
      <c r="I37" s="7">
        <f t="shared" si="148"/>
        <v>0</v>
      </c>
      <c r="J37" s="7">
        <f t="shared" si="148"/>
        <v>-1145</v>
      </c>
      <c r="K37" s="7">
        <f t="shared" si="148"/>
        <v>58935</v>
      </c>
      <c r="L37" s="7">
        <f t="shared" si="148"/>
        <v>0</v>
      </c>
      <c r="M37" s="7">
        <f t="shared" si="148"/>
        <v>0</v>
      </c>
      <c r="N37" s="7">
        <f t="shared" si="148"/>
        <v>58935</v>
      </c>
      <c r="O37" s="7">
        <f t="shared" si="148"/>
        <v>0</v>
      </c>
      <c r="P37" s="7">
        <f t="shared" si="148"/>
        <v>0</v>
      </c>
      <c r="Q37" s="7">
        <f t="shared" si="148"/>
        <v>1207</v>
      </c>
      <c r="R37" s="7">
        <f t="shared" si="148"/>
        <v>1207</v>
      </c>
      <c r="S37" s="7">
        <f t="shared" si="148"/>
        <v>0</v>
      </c>
      <c r="T37" s="7">
        <f t="shared" si="148"/>
        <v>0</v>
      </c>
      <c r="U37" s="7">
        <f t="shared" si="148"/>
        <v>0</v>
      </c>
      <c r="V37" s="7">
        <f t="shared" si="148"/>
        <v>0</v>
      </c>
      <c r="W37" s="7">
        <f t="shared" si="148"/>
        <v>0</v>
      </c>
      <c r="X37" s="7">
        <f t="shared" si="148"/>
        <v>0</v>
      </c>
      <c r="Y37" s="7">
        <f t="shared" si="148"/>
        <v>1207</v>
      </c>
      <c r="Z37" s="7">
        <f t="shared" si="148"/>
        <v>1207</v>
      </c>
      <c r="AA37" s="7">
        <f t="shared" si="148"/>
        <v>60080</v>
      </c>
      <c r="AB37" s="7">
        <f t="shared" si="148"/>
        <v>0</v>
      </c>
      <c r="AC37" s="7">
        <f t="shared" si="148"/>
        <v>1207</v>
      </c>
      <c r="AD37" s="7">
        <f t="shared" si="148"/>
        <v>61287</v>
      </c>
      <c r="AE37" s="7">
        <f t="shared" si="148"/>
        <v>-1145</v>
      </c>
      <c r="AF37" s="7">
        <f t="shared" si="148"/>
        <v>0</v>
      </c>
      <c r="AG37" s="7">
        <f t="shared" si="148"/>
        <v>0</v>
      </c>
      <c r="AH37" s="7">
        <f t="shared" si="148"/>
        <v>-1145</v>
      </c>
      <c r="AI37" s="7">
        <f t="shared" si="148"/>
        <v>58935</v>
      </c>
      <c r="AJ37" s="7">
        <f t="shared" si="148"/>
        <v>0</v>
      </c>
      <c r="AK37" s="7">
        <f t="shared" si="148"/>
        <v>1207</v>
      </c>
      <c r="AL37" s="7">
        <f t="shared" si="148"/>
        <v>60142</v>
      </c>
    </row>
    <row r="38" spans="1:38" ht="31.5" x14ac:dyDescent="0.25">
      <c r="A38" s="129" t="s">
        <v>1006</v>
      </c>
      <c r="B38" s="129" t="s">
        <v>166</v>
      </c>
      <c r="C38" s="4">
        <f>SUM(C26+C33+C37+C24)</f>
        <v>18128487</v>
      </c>
      <c r="D38" s="4">
        <f t="shared" ref="D38:AL38" si="149">SUM(D26+D33+D37+D24)</f>
        <v>0</v>
      </c>
      <c r="E38" s="4">
        <f t="shared" si="149"/>
        <v>0</v>
      </c>
      <c r="F38" s="4">
        <f t="shared" si="149"/>
        <v>18128487</v>
      </c>
      <c r="G38" s="4">
        <f t="shared" si="149"/>
        <v>1288809</v>
      </c>
      <c r="H38" s="4">
        <f t="shared" si="149"/>
        <v>0</v>
      </c>
      <c r="I38" s="4">
        <f t="shared" si="149"/>
        <v>0</v>
      </c>
      <c r="J38" s="4">
        <f t="shared" si="149"/>
        <v>1288809</v>
      </c>
      <c r="K38" s="4">
        <f t="shared" si="149"/>
        <v>19417296</v>
      </c>
      <c r="L38" s="4">
        <f t="shared" si="149"/>
        <v>0</v>
      </c>
      <c r="M38" s="4">
        <f t="shared" si="149"/>
        <v>0</v>
      </c>
      <c r="N38" s="4">
        <f t="shared" si="149"/>
        <v>19417296</v>
      </c>
      <c r="O38" s="4">
        <f t="shared" si="149"/>
        <v>0</v>
      </c>
      <c r="P38" s="4">
        <f t="shared" si="149"/>
        <v>0</v>
      </c>
      <c r="Q38" s="4">
        <f t="shared" si="149"/>
        <v>1207</v>
      </c>
      <c r="R38" s="4">
        <f t="shared" si="149"/>
        <v>1207</v>
      </c>
      <c r="S38" s="4">
        <f t="shared" si="149"/>
        <v>0</v>
      </c>
      <c r="T38" s="4">
        <f t="shared" si="149"/>
        <v>0</v>
      </c>
      <c r="U38" s="4">
        <f t="shared" si="149"/>
        <v>0</v>
      </c>
      <c r="V38" s="4">
        <f t="shared" si="149"/>
        <v>0</v>
      </c>
      <c r="W38" s="4">
        <f t="shared" si="149"/>
        <v>0</v>
      </c>
      <c r="X38" s="4">
        <f t="shared" si="149"/>
        <v>0</v>
      </c>
      <c r="Y38" s="4">
        <f t="shared" si="149"/>
        <v>1207</v>
      </c>
      <c r="Z38" s="4">
        <f t="shared" si="149"/>
        <v>1207</v>
      </c>
      <c r="AA38" s="4">
        <f t="shared" si="149"/>
        <v>18128487</v>
      </c>
      <c r="AB38" s="4">
        <f t="shared" si="149"/>
        <v>0</v>
      </c>
      <c r="AC38" s="4">
        <f t="shared" si="149"/>
        <v>1207</v>
      </c>
      <c r="AD38" s="4">
        <f t="shared" si="149"/>
        <v>18129694</v>
      </c>
      <c r="AE38" s="4">
        <f t="shared" si="149"/>
        <v>1288809</v>
      </c>
      <c r="AF38" s="4">
        <f t="shared" si="149"/>
        <v>0</v>
      </c>
      <c r="AG38" s="4">
        <f t="shared" si="149"/>
        <v>0</v>
      </c>
      <c r="AH38" s="4">
        <f t="shared" si="149"/>
        <v>1288809</v>
      </c>
      <c r="AI38" s="4">
        <f t="shared" si="149"/>
        <v>19417296</v>
      </c>
      <c r="AJ38" s="4">
        <f t="shared" si="149"/>
        <v>0</v>
      </c>
      <c r="AK38" s="4">
        <f t="shared" si="149"/>
        <v>1207</v>
      </c>
      <c r="AL38" s="4">
        <f t="shared" si="149"/>
        <v>19418503</v>
      </c>
    </row>
    <row r="39" spans="1:38" x14ac:dyDescent="0.25">
      <c r="A39" s="129" t="s">
        <v>1007</v>
      </c>
      <c r="B39" s="129" t="s">
        <v>167</v>
      </c>
      <c r="C39" s="4">
        <v>1258672</v>
      </c>
      <c r="D39" s="4">
        <v>366232</v>
      </c>
      <c r="E39" s="4"/>
      <c r="F39" s="4">
        <f t="shared" ref="F39:F46" si="150">SUM(C39:E39)</f>
        <v>1624904</v>
      </c>
      <c r="G39" s="4">
        <f>83386+2</f>
        <v>83388</v>
      </c>
      <c r="H39" s="4">
        <v>31610</v>
      </c>
      <c r="I39" s="4"/>
      <c r="J39" s="4">
        <f>SUM(G39:I39)</f>
        <v>114998</v>
      </c>
      <c r="K39" s="4">
        <f t="shared" ref="K39:K46" si="151">SUM(G39+C39)</f>
        <v>1342060</v>
      </c>
      <c r="L39" s="4">
        <f t="shared" ref="L39:L46" si="152">SUM(H39+D39)</f>
        <v>397842</v>
      </c>
      <c r="M39" s="4">
        <f t="shared" ref="M39:M46" si="153">SUM(I39+E39)</f>
        <v>0</v>
      </c>
      <c r="N39" s="4">
        <f t="shared" ref="N39:N46" si="154">SUM(K39:M39)</f>
        <v>1739902</v>
      </c>
      <c r="O39" s="4">
        <v>991124</v>
      </c>
      <c r="P39" s="4">
        <v>200953</v>
      </c>
      <c r="Q39" s="4">
        <v>1368</v>
      </c>
      <c r="R39" s="4">
        <f t="shared" ref="R39:R46" si="155">SUM(O39:Q39)</f>
        <v>1193445</v>
      </c>
      <c r="S39" s="4">
        <v>74305</v>
      </c>
      <c r="T39" s="4">
        <v>12225</v>
      </c>
      <c r="U39" s="4"/>
      <c r="V39" s="4">
        <f>SUM(S39:U39)</f>
        <v>86530</v>
      </c>
      <c r="W39" s="4">
        <f t="shared" ref="W39:W46" si="156">SUM(S39+O39)</f>
        <v>1065429</v>
      </c>
      <c r="X39" s="4">
        <f t="shared" ref="X39:X46" si="157">SUM(T39+P39)</f>
        <v>213178</v>
      </c>
      <c r="Y39" s="4">
        <f t="shared" ref="Y39:Y46" si="158">SUM(Q39+U39)</f>
        <v>1368</v>
      </c>
      <c r="Z39" s="4">
        <f t="shared" ref="Z39:Z46" si="159">SUM(W39:Y39)</f>
        <v>1279975</v>
      </c>
      <c r="AA39" s="3">
        <f t="shared" ref="AA39:AC43" si="160">SUM(O39+C39)</f>
        <v>2249796</v>
      </c>
      <c r="AB39" s="3">
        <f t="shared" si="160"/>
        <v>567185</v>
      </c>
      <c r="AC39" s="3">
        <f t="shared" si="160"/>
        <v>1368</v>
      </c>
      <c r="AD39" s="3">
        <f>SUM(AA39:AC39)</f>
        <v>2818349</v>
      </c>
      <c r="AE39" s="3">
        <f t="shared" ref="AE39:AG43" si="161">SUM(S39+G39)</f>
        <v>157693</v>
      </c>
      <c r="AF39" s="3">
        <f t="shared" si="161"/>
        <v>43835</v>
      </c>
      <c r="AG39" s="3">
        <f t="shared" si="161"/>
        <v>0</v>
      </c>
      <c r="AH39" s="3">
        <f t="shared" ref="AH39:AH43" si="162">SUM(AE39:AG39)</f>
        <v>201528</v>
      </c>
      <c r="AI39" s="3">
        <f t="shared" ref="AI39:AK43" si="163">SUM(W39+K39)</f>
        <v>2407489</v>
      </c>
      <c r="AJ39" s="3">
        <f t="shared" si="163"/>
        <v>611020</v>
      </c>
      <c r="AK39" s="3">
        <f t="shared" si="163"/>
        <v>1368</v>
      </c>
      <c r="AL39" s="3">
        <f t="shared" ref="AL39:AL43" si="164">SUM(AI39:AK39)</f>
        <v>3019877</v>
      </c>
    </row>
    <row r="40" spans="1:38" x14ac:dyDescent="0.25">
      <c r="A40" s="12" t="s">
        <v>210</v>
      </c>
      <c r="B40" s="12" t="s">
        <v>202</v>
      </c>
      <c r="C40" s="5">
        <v>753335</v>
      </c>
      <c r="D40" s="526">
        <v>37557</v>
      </c>
      <c r="E40" s="40"/>
      <c r="F40" s="526">
        <f t="shared" si="150"/>
        <v>790892</v>
      </c>
      <c r="G40" s="5">
        <v>3055</v>
      </c>
      <c r="H40" s="5"/>
      <c r="I40" s="5"/>
      <c r="J40" s="5">
        <f>SUM(G40:I40)</f>
        <v>3055</v>
      </c>
      <c r="K40" s="5">
        <f t="shared" si="151"/>
        <v>756390</v>
      </c>
      <c r="L40" s="5">
        <f t="shared" si="152"/>
        <v>37557</v>
      </c>
      <c r="M40" s="5">
        <f t="shared" si="153"/>
        <v>0</v>
      </c>
      <c r="N40" s="6">
        <f t="shared" si="154"/>
        <v>793947</v>
      </c>
      <c r="O40" s="5">
        <v>0</v>
      </c>
      <c r="P40" s="5">
        <v>0</v>
      </c>
      <c r="Q40" s="5">
        <v>0</v>
      </c>
      <c r="R40" s="5">
        <f t="shared" si="155"/>
        <v>0</v>
      </c>
      <c r="S40" s="5"/>
      <c r="T40" s="5"/>
      <c r="U40" s="5"/>
      <c r="V40" s="5">
        <f>SUM(S40:U40)</f>
        <v>0</v>
      </c>
      <c r="W40" s="5">
        <f t="shared" si="156"/>
        <v>0</v>
      </c>
      <c r="X40" s="5">
        <f t="shared" si="157"/>
        <v>0</v>
      </c>
      <c r="Y40" s="5">
        <f t="shared" si="158"/>
        <v>0</v>
      </c>
      <c r="Z40" s="5">
        <f t="shared" si="159"/>
        <v>0</v>
      </c>
      <c r="AA40" s="2">
        <f t="shared" si="160"/>
        <v>753335</v>
      </c>
      <c r="AB40" s="2">
        <f t="shared" si="160"/>
        <v>37557</v>
      </c>
      <c r="AC40" s="2">
        <f t="shared" si="160"/>
        <v>0</v>
      </c>
      <c r="AD40" s="2">
        <f>SUM(AA40:AC40)</f>
        <v>790892</v>
      </c>
      <c r="AE40" s="2">
        <f t="shared" si="161"/>
        <v>3055</v>
      </c>
      <c r="AF40" s="2">
        <f t="shared" si="161"/>
        <v>0</v>
      </c>
      <c r="AG40" s="2">
        <f t="shared" si="161"/>
        <v>0</v>
      </c>
      <c r="AH40" s="2">
        <f t="shared" si="162"/>
        <v>3055</v>
      </c>
      <c r="AI40" s="2">
        <f t="shared" si="163"/>
        <v>756390</v>
      </c>
      <c r="AJ40" s="2">
        <f t="shared" si="163"/>
        <v>37557</v>
      </c>
      <c r="AK40" s="2">
        <f t="shared" si="163"/>
        <v>0</v>
      </c>
      <c r="AL40" s="2">
        <f t="shared" si="164"/>
        <v>793947</v>
      </c>
    </row>
    <row r="41" spans="1:38" x14ac:dyDescent="0.25">
      <c r="A41" s="12" t="s">
        <v>924</v>
      </c>
      <c r="B41" s="12" t="s">
        <v>202</v>
      </c>
      <c r="C41" s="5">
        <v>629335</v>
      </c>
      <c r="D41" s="526">
        <v>0</v>
      </c>
      <c r="E41" s="40"/>
      <c r="F41" s="526">
        <f t="shared" si="150"/>
        <v>629335</v>
      </c>
      <c r="G41" s="5">
        <v>0</v>
      </c>
      <c r="H41" s="5"/>
      <c r="I41" s="5"/>
      <c r="J41" s="5">
        <f>SUM(G41:I41)</f>
        <v>0</v>
      </c>
      <c r="K41" s="5">
        <f t="shared" ref="K41" si="165">SUM(G41+C41)</f>
        <v>629335</v>
      </c>
      <c r="L41" s="5">
        <f t="shared" ref="L41" si="166">SUM(H41+D41)</f>
        <v>0</v>
      </c>
      <c r="M41" s="5">
        <f t="shared" ref="M41" si="167">SUM(I41+E41)</f>
        <v>0</v>
      </c>
      <c r="N41" s="6">
        <f t="shared" ref="N41" si="168">SUM(K41:M41)</f>
        <v>629335</v>
      </c>
      <c r="O41" s="5"/>
      <c r="P41" s="5"/>
      <c r="Q41" s="5"/>
      <c r="R41" s="5">
        <f t="shared" si="155"/>
        <v>0</v>
      </c>
      <c r="S41" s="5"/>
      <c r="T41" s="5"/>
      <c r="U41" s="5"/>
      <c r="V41" s="5">
        <f>SUM(S41:U41)</f>
        <v>0</v>
      </c>
      <c r="W41" s="5"/>
      <c r="X41" s="5"/>
      <c r="Y41" s="5"/>
      <c r="Z41" s="5">
        <f t="shared" si="159"/>
        <v>0</v>
      </c>
      <c r="AA41" s="2">
        <f t="shared" ref="AA41" si="169">SUM(O41+C41)</f>
        <v>629335</v>
      </c>
      <c r="AB41" s="2">
        <f t="shared" ref="AB41" si="170">SUM(P41+D41)</f>
        <v>0</v>
      </c>
      <c r="AC41" s="2">
        <f t="shared" ref="AC41" si="171">SUM(Q41+E41)</f>
        <v>0</v>
      </c>
      <c r="AD41" s="2">
        <f>SUM(AA41:AC41)</f>
        <v>629335</v>
      </c>
      <c r="AE41" s="2">
        <f t="shared" ref="AE41" si="172">SUM(S41+G41)</f>
        <v>0</v>
      </c>
      <c r="AF41" s="2">
        <f t="shared" ref="AF41" si="173">SUM(T41+H41)</f>
        <v>0</v>
      </c>
      <c r="AG41" s="2">
        <f t="shared" ref="AG41" si="174">SUM(U41+I41)</f>
        <v>0</v>
      </c>
      <c r="AH41" s="2">
        <f t="shared" ref="AH41" si="175">SUM(AE41:AG41)</f>
        <v>0</v>
      </c>
      <c r="AI41" s="2">
        <f t="shared" ref="AI41" si="176">SUM(W41+K41)</f>
        <v>629335</v>
      </c>
      <c r="AJ41" s="2">
        <f t="shared" ref="AJ41" si="177">SUM(X41+L41)</f>
        <v>0</v>
      </c>
      <c r="AK41" s="2">
        <f t="shared" ref="AK41" si="178">SUM(Y41+M41)</f>
        <v>0</v>
      </c>
      <c r="AL41" s="2">
        <f t="shared" ref="AL41" si="179">SUM(AI41:AK41)</f>
        <v>629335</v>
      </c>
    </row>
    <row r="42" spans="1:38" ht="31.5" x14ac:dyDescent="0.25">
      <c r="A42" s="384" t="s">
        <v>211</v>
      </c>
      <c r="B42" s="12" t="s">
        <v>212</v>
      </c>
      <c r="C42" s="5">
        <v>85859</v>
      </c>
      <c r="D42" s="526">
        <v>71439</v>
      </c>
      <c r="E42" s="40"/>
      <c r="F42" s="526">
        <f t="shared" si="150"/>
        <v>157298</v>
      </c>
      <c r="G42" s="5">
        <v>10756</v>
      </c>
      <c r="H42" s="5">
        <v>6386</v>
      </c>
      <c r="I42" s="5"/>
      <c r="J42" s="5">
        <f t="shared" ref="J42:J46" si="180">SUM(G42:I42)</f>
        <v>17142</v>
      </c>
      <c r="K42" s="5">
        <f t="shared" si="151"/>
        <v>96615</v>
      </c>
      <c r="L42" s="5">
        <f t="shared" si="152"/>
        <v>77825</v>
      </c>
      <c r="M42" s="5">
        <f t="shared" si="153"/>
        <v>0</v>
      </c>
      <c r="N42" s="6">
        <f t="shared" si="154"/>
        <v>174440</v>
      </c>
      <c r="O42" s="5">
        <v>296174</v>
      </c>
      <c r="P42" s="5">
        <v>83845</v>
      </c>
      <c r="Q42" s="5">
        <v>283</v>
      </c>
      <c r="R42" s="5">
        <f t="shared" si="155"/>
        <v>380302</v>
      </c>
      <c r="S42" s="5">
        <v>19019</v>
      </c>
      <c r="T42" s="5">
        <v>4236</v>
      </c>
      <c r="U42" s="5"/>
      <c r="V42" s="5">
        <f t="shared" ref="V42:V46" si="181">SUM(S42:U42)</f>
        <v>23255</v>
      </c>
      <c r="W42" s="5">
        <f t="shared" si="156"/>
        <v>315193</v>
      </c>
      <c r="X42" s="5">
        <f t="shared" si="157"/>
        <v>88081</v>
      </c>
      <c r="Y42" s="5">
        <f t="shared" si="158"/>
        <v>283</v>
      </c>
      <c r="Z42" s="5">
        <f t="shared" si="159"/>
        <v>403557</v>
      </c>
      <c r="AA42" s="2">
        <f t="shared" si="160"/>
        <v>382033</v>
      </c>
      <c r="AB42" s="2">
        <f t="shared" si="160"/>
        <v>155284</v>
      </c>
      <c r="AC42" s="2">
        <f t="shared" si="160"/>
        <v>283</v>
      </c>
      <c r="AD42" s="2">
        <f>SUM(AA42:AC42)</f>
        <v>537600</v>
      </c>
      <c r="AE42" s="2">
        <f t="shared" si="161"/>
        <v>29775</v>
      </c>
      <c r="AF42" s="2">
        <f t="shared" si="161"/>
        <v>10622</v>
      </c>
      <c r="AG42" s="2">
        <f t="shared" si="161"/>
        <v>0</v>
      </c>
      <c r="AH42" s="2">
        <f t="shared" si="162"/>
        <v>40397</v>
      </c>
      <c r="AI42" s="2">
        <f t="shared" si="163"/>
        <v>411808</v>
      </c>
      <c r="AJ42" s="2">
        <f t="shared" si="163"/>
        <v>165906</v>
      </c>
      <c r="AK42" s="2">
        <f t="shared" si="163"/>
        <v>283</v>
      </c>
      <c r="AL42" s="2">
        <f t="shared" si="164"/>
        <v>577997</v>
      </c>
    </row>
    <row r="43" spans="1:38" x14ac:dyDescent="0.25">
      <c r="A43" s="384" t="s">
        <v>213</v>
      </c>
      <c r="B43" s="12" t="s">
        <v>203</v>
      </c>
      <c r="C43" s="5">
        <v>1176</v>
      </c>
      <c r="D43" s="526">
        <v>0</v>
      </c>
      <c r="E43" s="40"/>
      <c r="F43" s="526">
        <f t="shared" si="150"/>
        <v>1176</v>
      </c>
      <c r="G43" s="5">
        <v>510</v>
      </c>
      <c r="H43" s="5"/>
      <c r="I43" s="5"/>
      <c r="J43" s="5">
        <f t="shared" si="180"/>
        <v>510</v>
      </c>
      <c r="K43" s="5">
        <f t="shared" si="151"/>
        <v>1686</v>
      </c>
      <c r="L43" s="5">
        <f t="shared" si="152"/>
        <v>0</v>
      </c>
      <c r="M43" s="5">
        <f t="shared" si="153"/>
        <v>0</v>
      </c>
      <c r="N43" s="6">
        <f t="shared" si="154"/>
        <v>1686</v>
      </c>
      <c r="O43" s="5">
        <v>5</v>
      </c>
      <c r="P43" s="5">
        <v>0</v>
      </c>
      <c r="Q43" s="5">
        <v>4</v>
      </c>
      <c r="R43" s="5">
        <f t="shared" si="155"/>
        <v>9</v>
      </c>
      <c r="S43" s="5">
        <v>37</v>
      </c>
      <c r="T43" s="5"/>
      <c r="U43" s="5"/>
      <c r="V43" s="5">
        <f t="shared" si="181"/>
        <v>37</v>
      </c>
      <c r="W43" s="5">
        <f t="shared" si="156"/>
        <v>42</v>
      </c>
      <c r="X43" s="5">
        <f t="shared" si="157"/>
        <v>0</v>
      </c>
      <c r="Y43" s="5">
        <f t="shared" si="158"/>
        <v>4</v>
      </c>
      <c r="Z43" s="5">
        <f t="shared" si="159"/>
        <v>46</v>
      </c>
      <c r="AA43" s="2">
        <f t="shared" si="160"/>
        <v>1181</v>
      </c>
      <c r="AB43" s="2">
        <f t="shared" si="160"/>
        <v>0</v>
      </c>
      <c r="AC43" s="2">
        <f t="shared" si="160"/>
        <v>4</v>
      </c>
      <c r="AD43" s="2">
        <f>SUM(AA43:AC43)</f>
        <v>1185</v>
      </c>
      <c r="AE43" s="2">
        <f t="shared" si="161"/>
        <v>547</v>
      </c>
      <c r="AF43" s="2">
        <f t="shared" si="161"/>
        <v>0</v>
      </c>
      <c r="AG43" s="2">
        <f t="shared" si="161"/>
        <v>0</v>
      </c>
      <c r="AH43" s="2">
        <f t="shared" si="162"/>
        <v>547</v>
      </c>
      <c r="AI43" s="2">
        <f t="shared" si="163"/>
        <v>1728</v>
      </c>
      <c r="AJ43" s="2">
        <f t="shared" si="163"/>
        <v>0</v>
      </c>
      <c r="AK43" s="2">
        <f t="shared" si="163"/>
        <v>4</v>
      </c>
      <c r="AL43" s="2">
        <f t="shared" si="164"/>
        <v>1732</v>
      </c>
    </row>
    <row r="44" spans="1:38" ht="30.75" customHeight="1" x14ac:dyDescent="0.25">
      <c r="A44" s="134" t="s">
        <v>1008</v>
      </c>
      <c r="B44" s="134" t="s">
        <v>204</v>
      </c>
      <c r="C44" s="385">
        <v>121185</v>
      </c>
      <c r="D44" s="531">
        <v>0</v>
      </c>
      <c r="E44" s="385"/>
      <c r="F44" s="386">
        <f t="shared" ref="F44" si="182">SUM(C44:E44)</f>
        <v>121185</v>
      </c>
      <c r="G44" s="386">
        <v>-64953</v>
      </c>
      <c r="H44" s="386"/>
      <c r="I44" s="385"/>
      <c r="J44" s="5">
        <f t="shared" ref="J44:J45" si="183">SUM(G44:I44)</f>
        <v>-64953</v>
      </c>
      <c r="K44" s="385">
        <f t="shared" ref="K44" si="184">SUM(G44+C44)</f>
        <v>56232</v>
      </c>
      <c r="L44" s="386">
        <f t="shared" ref="L44:L45" si="185">SUM(H44+D44)</f>
        <v>0</v>
      </c>
      <c r="M44" s="386">
        <f t="shared" ref="M44:M45" si="186">SUM(I44+E44)</f>
        <v>0</v>
      </c>
      <c r="N44" s="386">
        <f t="shared" ref="N44:N45" si="187">SUM(K44:M44)</f>
        <v>56232</v>
      </c>
      <c r="O44" s="385">
        <v>0</v>
      </c>
      <c r="P44" s="385">
        <v>0</v>
      </c>
      <c r="Q44" s="385">
        <v>0</v>
      </c>
      <c r="R44" s="5">
        <f t="shared" ref="R44:R45" si="188">SUM(O44:Q44)</f>
        <v>0</v>
      </c>
      <c r="S44" s="5"/>
      <c r="T44" s="5"/>
      <c r="U44" s="5"/>
      <c r="V44" s="5">
        <f t="shared" ref="V44:V45" si="189">SUM(S44:U44)</f>
        <v>0</v>
      </c>
      <c r="W44" s="5">
        <f t="shared" ref="W44:W45" si="190">SUM(S44+O44)</f>
        <v>0</v>
      </c>
      <c r="X44" s="5">
        <f t="shared" ref="X44:X45" si="191">SUM(T44+P44)</f>
        <v>0</v>
      </c>
      <c r="Y44" s="5">
        <f t="shared" ref="Y44:Y45" si="192">SUM(Q44+U44)</f>
        <v>0</v>
      </c>
      <c r="Z44" s="5">
        <f t="shared" ref="Z44:Z45" si="193">SUM(W44:Y44)</f>
        <v>0</v>
      </c>
      <c r="AA44" s="3">
        <f t="shared" ref="AA44:AD46" si="194">SUM(C44+O44)</f>
        <v>121185</v>
      </c>
      <c r="AB44" s="3">
        <f t="shared" si="194"/>
        <v>0</v>
      </c>
      <c r="AC44" s="3">
        <f t="shared" si="194"/>
        <v>0</v>
      </c>
      <c r="AD44" s="3">
        <f t="shared" si="194"/>
        <v>121185</v>
      </c>
      <c r="AE44" s="3">
        <f t="shared" ref="AE44:AE45" si="195">SUM(G44+S44)</f>
        <v>-64953</v>
      </c>
      <c r="AF44" s="3">
        <f t="shared" ref="AF44:AF45" si="196">SUM(H44+T44)</f>
        <v>0</v>
      </c>
      <c r="AG44" s="3">
        <f t="shared" ref="AG44:AG45" si="197">SUM(I44+U44)</f>
        <v>0</v>
      </c>
      <c r="AH44" s="3">
        <f t="shared" ref="AH44:AH45" si="198">SUM(J44+V44)</f>
        <v>-64953</v>
      </c>
      <c r="AI44" s="3">
        <f t="shared" ref="AI44:AI45" si="199">SUM(K44+W44)</f>
        <v>56232</v>
      </c>
      <c r="AJ44" s="3">
        <f t="shared" ref="AJ44:AJ45" si="200">SUM(L44+X44)</f>
        <v>0</v>
      </c>
      <c r="AK44" s="3">
        <f t="shared" ref="AK44:AK45" si="201">SUM(M44+Y44)</f>
        <v>0</v>
      </c>
      <c r="AL44" s="3">
        <f t="shared" ref="AL44:AL45" si="202">SUM(N44+Z44)</f>
        <v>56232</v>
      </c>
    </row>
    <row r="45" spans="1:38" ht="30.75" customHeight="1" x14ac:dyDescent="0.25">
      <c r="A45" s="134" t="s">
        <v>1027</v>
      </c>
      <c r="B45" s="134" t="s">
        <v>204</v>
      </c>
      <c r="C45" s="385">
        <v>0</v>
      </c>
      <c r="D45" s="531">
        <v>0</v>
      </c>
      <c r="E45" s="385"/>
      <c r="F45" s="386">
        <f t="shared" ref="F45" si="203">SUM(C45:E45)</f>
        <v>0</v>
      </c>
      <c r="G45" s="386"/>
      <c r="H45" s="386"/>
      <c r="I45" s="385"/>
      <c r="J45" s="5">
        <f t="shared" si="183"/>
        <v>0</v>
      </c>
      <c r="K45" s="385">
        <f t="shared" ref="K45" si="204">SUM(G45+C45)</f>
        <v>0</v>
      </c>
      <c r="L45" s="386">
        <f t="shared" si="185"/>
        <v>0</v>
      </c>
      <c r="M45" s="386">
        <f t="shared" si="186"/>
        <v>0</v>
      </c>
      <c r="N45" s="386">
        <f t="shared" si="187"/>
        <v>0</v>
      </c>
      <c r="O45" s="385">
        <v>2750</v>
      </c>
      <c r="P45" s="385">
        <v>0</v>
      </c>
      <c r="Q45" s="385">
        <v>1975</v>
      </c>
      <c r="R45" s="5">
        <f t="shared" si="188"/>
        <v>4725</v>
      </c>
      <c r="S45" s="5">
        <v>1</v>
      </c>
      <c r="T45" s="5">
        <v>387</v>
      </c>
      <c r="U45" s="5">
        <v>0</v>
      </c>
      <c r="V45" s="5">
        <f t="shared" si="189"/>
        <v>388</v>
      </c>
      <c r="W45" s="5">
        <f t="shared" si="190"/>
        <v>2751</v>
      </c>
      <c r="X45" s="5">
        <f t="shared" si="191"/>
        <v>387</v>
      </c>
      <c r="Y45" s="5">
        <f t="shared" si="192"/>
        <v>1975</v>
      </c>
      <c r="Z45" s="5">
        <f t="shared" si="193"/>
        <v>5113</v>
      </c>
      <c r="AA45" s="3">
        <f t="shared" ref="AA45" si="205">SUM(C45+O45)</f>
        <v>2750</v>
      </c>
      <c r="AB45" s="3">
        <f t="shared" ref="AB45" si="206">SUM(D45+P45)</f>
        <v>0</v>
      </c>
      <c r="AC45" s="3">
        <f t="shared" ref="AC45" si="207">SUM(E45+Q45)</f>
        <v>1975</v>
      </c>
      <c r="AD45" s="3">
        <f t="shared" ref="AD45" si="208">SUM(F45+R45)</f>
        <v>4725</v>
      </c>
      <c r="AE45" s="3">
        <f t="shared" si="195"/>
        <v>1</v>
      </c>
      <c r="AF45" s="3">
        <f t="shared" si="196"/>
        <v>387</v>
      </c>
      <c r="AG45" s="3">
        <f t="shared" si="197"/>
        <v>0</v>
      </c>
      <c r="AH45" s="3">
        <f t="shared" si="198"/>
        <v>388</v>
      </c>
      <c r="AI45" s="3">
        <f t="shared" si="199"/>
        <v>2751</v>
      </c>
      <c r="AJ45" s="3">
        <f t="shared" si="200"/>
        <v>387</v>
      </c>
      <c r="AK45" s="3">
        <f t="shared" si="201"/>
        <v>1975</v>
      </c>
      <c r="AL45" s="3">
        <f t="shared" si="202"/>
        <v>5113</v>
      </c>
    </row>
    <row r="46" spans="1:38" ht="30.75" customHeight="1" x14ac:dyDescent="0.25">
      <c r="A46" s="134" t="s">
        <v>1206</v>
      </c>
      <c r="B46" s="134" t="s">
        <v>1205</v>
      </c>
      <c r="C46" s="385">
        <v>0</v>
      </c>
      <c r="D46" s="531">
        <v>0</v>
      </c>
      <c r="E46" s="385"/>
      <c r="F46" s="386">
        <f t="shared" si="150"/>
        <v>0</v>
      </c>
      <c r="G46" s="386"/>
      <c r="H46" s="386">
        <v>8</v>
      </c>
      <c r="I46" s="385"/>
      <c r="J46" s="5">
        <f t="shared" si="180"/>
        <v>8</v>
      </c>
      <c r="K46" s="385">
        <f t="shared" si="151"/>
        <v>0</v>
      </c>
      <c r="L46" s="386">
        <f t="shared" si="152"/>
        <v>8</v>
      </c>
      <c r="M46" s="386">
        <f t="shared" si="153"/>
        <v>0</v>
      </c>
      <c r="N46" s="386">
        <f t="shared" si="154"/>
        <v>8</v>
      </c>
      <c r="O46" s="385"/>
      <c r="P46" s="385"/>
      <c r="Q46" s="385"/>
      <c r="R46" s="5">
        <f t="shared" si="155"/>
        <v>0</v>
      </c>
      <c r="S46" s="5">
        <v>0</v>
      </c>
      <c r="T46" s="5"/>
      <c r="U46" s="5">
        <v>0</v>
      </c>
      <c r="V46" s="5">
        <f t="shared" si="181"/>
        <v>0</v>
      </c>
      <c r="W46" s="5">
        <f t="shared" si="156"/>
        <v>0</v>
      </c>
      <c r="X46" s="5">
        <f t="shared" si="157"/>
        <v>0</v>
      </c>
      <c r="Y46" s="5">
        <f t="shared" si="158"/>
        <v>0</v>
      </c>
      <c r="Z46" s="5">
        <f t="shared" si="159"/>
        <v>0</v>
      </c>
      <c r="AA46" s="3">
        <f t="shared" si="194"/>
        <v>0</v>
      </c>
      <c r="AB46" s="3">
        <f t="shared" si="194"/>
        <v>0</v>
      </c>
      <c r="AC46" s="3">
        <f t="shared" si="194"/>
        <v>0</v>
      </c>
      <c r="AD46" s="3">
        <f t="shared" si="194"/>
        <v>0</v>
      </c>
      <c r="AE46" s="3">
        <f t="shared" ref="AE46:AL46" si="209">SUM(G46+S46)</f>
        <v>0</v>
      </c>
      <c r="AF46" s="3">
        <f t="shared" si="209"/>
        <v>8</v>
      </c>
      <c r="AG46" s="3">
        <f t="shared" si="209"/>
        <v>0</v>
      </c>
      <c r="AH46" s="3">
        <f t="shared" si="209"/>
        <v>8</v>
      </c>
      <c r="AI46" s="3">
        <f t="shared" si="209"/>
        <v>0</v>
      </c>
      <c r="AJ46" s="3">
        <f t="shared" si="209"/>
        <v>8</v>
      </c>
      <c r="AK46" s="3">
        <f t="shared" si="209"/>
        <v>0</v>
      </c>
      <c r="AL46" s="3">
        <f t="shared" si="209"/>
        <v>8</v>
      </c>
    </row>
    <row r="47" spans="1:38" ht="31.5" x14ac:dyDescent="0.25">
      <c r="A47" s="135" t="s">
        <v>1213</v>
      </c>
      <c r="B47" s="135" t="s">
        <v>168</v>
      </c>
      <c r="C47" s="3">
        <f>SUM(C44:C46)</f>
        <v>121185</v>
      </c>
      <c r="D47" s="3">
        <f t="shared" ref="D47:AL47" si="210">SUM(D44:D46)</f>
        <v>0</v>
      </c>
      <c r="E47" s="3">
        <f t="shared" si="210"/>
        <v>0</v>
      </c>
      <c r="F47" s="3">
        <f t="shared" si="210"/>
        <v>121185</v>
      </c>
      <c r="G47" s="3">
        <f t="shared" si="210"/>
        <v>-64953</v>
      </c>
      <c r="H47" s="3">
        <f t="shared" si="210"/>
        <v>8</v>
      </c>
      <c r="I47" s="3">
        <f t="shared" si="210"/>
        <v>0</v>
      </c>
      <c r="J47" s="3">
        <f t="shared" si="210"/>
        <v>-64945</v>
      </c>
      <c r="K47" s="3">
        <f t="shared" si="210"/>
        <v>56232</v>
      </c>
      <c r="L47" s="3">
        <f t="shared" si="210"/>
        <v>8</v>
      </c>
      <c r="M47" s="3">
        <f t="shared" si="210"/>
        <v>0</v>
      </c>
      <c r="N47" s="3">
        <f t="shared" si="210"/>
        <v>56240</v>
      </c>
      <c r="O47" s="3">
        <f t="shared" si="210"/>
        <v>2750</v>
      </c>
      <c r="P47" s="3">
        <f t="shared" si="210"/>
        <v>0</v>
      </c>
      <c r="Q47" s="3">
        <f t="shared" si="210"/>
        <v>1975</v>
      </c>
      <c r="R47" s="3">
        <f t="shared" si="210"/>
        <v>4725</v>
      </c>
      <c r="S47" s="3">
        <f t="shared" si="210"/>
        <v>1</v>
      </c>
      <c r="T47" s="3">
        <f t="shared" si="210"/>
        <v>387</v>
      </c>
      <c r="U47" s="3">
        <f t="shared" si="210"/>
        <v>0</v>
      </c>
      <c r="V47" s="3">
        <f t="shared" si="210"/>
        <v>388</v>
      </c>
      <c r="W47" s="3">
        <f t="shared" si="210"/>
        <v>2751</v>
      </c>
      <c r="X47" s="3">
        <f t="shared" si="210"/>
        <v>387</v>
      </c>
      <c r="Y47" s="3">
        <f t="shared" si="210"/>
        <v>1975</v>
      </c>
      <c r="Z47" s="3">
        <f t="shared" si="210"/>
        <v>5113</v>
      </c>
      <c r="AA47" s="3">
        <f t="shared" si="210"/>
        <v>123935</v>
      </c>
      <c r="AB47" s="3">
        <f t="shared" si="210"/>
        <v>0</v>
      </c>
      <c r="AC47" s="3">
        <f t="shared" si="210"/>
        <v>1975</v>
      </c>
      <c r="AD47" s="3">
        <f t="shared" si="210"/>
        <v>125910</v>
      </c>
      <c r="AE47" s="3">
        <f t="shared" si="210"/>
        <v>-64952</v>
      </c>
      <c r="AF47" s="3">
        <f t="shared" si="210"/>
        <v>395</v>
      </c>
      <c r="AG47" s="3">
        <f t="shared" si="210"/>
        <v>0</v>
      </c>
      <c r="AH47" s="3">
        <f t="shared" si="210"/>
        <v>-64557</v>
      </c>
      <c r="AI47" s="3">
        <f t="shared" si="210"/>
        <v>58983</v>
      </c>
      <c r="AJ47" s="3">
        <f t="shared" si="210"/>
        <v>395</v>
      </c>
      <c r="AK47" s="3">
        <f t="shared" si="210"/>
        <v>1975</v>
      </c>
      <c r="AL47" s="3">
        <f t="shared" si="210"/>
        <v>61353</v>
      </c>
    </row>
    <row r="48" spans="1:38" x14ac:dyDescent="0.25">
      <c r="A48" s="136" t="s">
        <v>1009</v>
      </c>
      <c r="B48" s="136" t="s">
        <v>169</v>
      </c>
      <c r="C48" s="14">
        <v>74038</v>
      </c>
      <c r="D48" s="532">
        <v>128949</v>
      </c>
      <c r="E48" s="14"/>
      <c r="F48" s="15">
        <f>SUM(C48:E48)</f>
        <v>202987</v>
      </c>
      <c r="G48" s="15">
        <v>4384</v>
      </c>
      <c r="H48" s="15"/>
      <c r="I48" s="15"/>
      <c r="J48" s="15">
        <f>SUM(G48:I48)</f>
        <v>4384</v>
      </c>
      <c r="K48" s="14">
        <f t="shared" ref="K48:K49" si="211">SUM(G48+C48)</f>
        <v>78422</v>
      </c>
      <c r="L48" s="15">
        <f t="shared" ref="L48:L49" si="212">SUM(H48+D48)</f>
        <v>128949</v>
      </c>
      <c r="M48" s="15">
        <f t="shared" ref="M48:M49" si="213">SUM(I48+E48)</f>
        <v>0</v>
      </c>
      <c r="N48" s="15">
        <f t="shared" ref="N48:N49" si="214">SUM(K48:M48)</f>
        <v>207371</v>
      </c>
      <c r="O48" s="14">
        <v>5259</v>
      </c>
      <c r="P48" s="14">
        <v>211</v>
      </c>
      <c r="Q48" s="14">
        <v>0</v>
      </c>
      <c r="R48" s="14">
        <f>SUM(O48:Q48)</f>
        <v>5470</v>
      </c>
      <c r="S48" s="14">
        <v>150</v>
      </c>
      <c r="T48" s="14">
        <v>4</v>
      </c>
      <c r="U48" s="14"/>
      <c r="V48" s="14">
        <f>SUM(S48:U48)</f>
        <v>154</v>
      </c>
      <c r="W48" s="14">
        <f t="shared" ref="W48:W49" si="215">SUM(S48+O48)</f>
        <v>5409</v>
      </c>
      <c r="X48" s="14">
        <f t="shared" ref="X48:X49" si="216">SUM(T48+P48)</f>
        <v>215</v>
      </c>
      <c r="Y48" s="14">
        <f t="shared" ref="Y48:Y49" si="217">SUM(Q48+U48)</f>
        <v>0</v>
      </c>
      <c r="Z48" s="14">
        <f t="shared" ref="Z48:Z49" si="218">SUM(W48:Y48)</f>
        <v>5624</v>
      </c>
      <c r="AA48" s="3">
        <f t="shared" ref="AA48:AD49" si="219">SUM(C48+O48)</f>
        <v>79297</v>
      </c>
      <c r="AB48" s="3">
        <f t="shared" si="219"/>
        <v>129160</v>
      </c>
      <c r="AC48" s="3">
        <f t="shared" si="219"/>
        <v>0</v>
      </c>
      <c r="AD48" s="3">
        <f t="shared" si="219"/>
        <v>208457</v>
      </c>
      <c r="AE48" s="3">
        <f t="shared" ref="AE48:AL49" si="220">SUM(G48+S48)</f>
        <v>4534</v>
      </c>
      <c r="AF48" s="3">
        <f t="shared" si="220"/>
        <v>4</v>
      </c>
      <c r="AG48" s="3">
        <f t="shared" si="220"/>
        <v>0</v>
      </c>
      <c r="AH48" s="3">
        <f t="shared" si="220"/>
        <v>4538</v>
      </c>
      <c r="AI48" s="3">
        <f t="shared" si="220"/>
        <v>83831</v>
      </c>
      <c r="AJ48" s="3">
        <f t="shared" si="220"/>
        <v>129164</v>
      </c>
      <c r="AK48" s="3">
        <f t="shared" si="220"/>
        <v>0</v>
      </c>
      <c r="AL48" s="3">
        <f t="shared" si="220"/>
        <v>212995</v>
      </c>
    </row>
    <row r="49" spans="1:38" ht="16.5" thickBot="1" x14ac:dyDescent="0.3">
      <c r="A49" s="132" t="s">
        <v>1010</v>
      </c>
      <c r="B49" s="132" t="s">
        <v>170</v>
      </c>
      <c r="C49" s="52">
        <v>11411</v>
      </c>
      <c r="D49" s="533">
        <v>77315</v>
      </c>
      <c r="E49" s="52"/>
      <c r="F49" s="53">
        <f>SUM(C49:E49)</f>
        <v>88726</v>
      </c>
      <c r="G49" s="53">
        <v>-155</v>
      </c>
      <c r="H49" s="53">
        <v>-19690</v>
      </c>
      <c r="I49" s="53"/>
      <c r="J49" s="53">
        <f>SUM(G49:I49)</f>
        <v>-19845</v>
      </c>
      <c r="K49" s="52">
        <f t="shared" si="211"/>
        <v>11256</v>
      </c>
      <c r="L49" s="53">
        <f t="shared" si="212"/>
        <v>57625</v>
      </c>
      <c r="M49" s="53">
        <f t="shared" si="213"/>
        <v>0</v>
      </c>
      <c r="N49" s="53">
        <f t="shared" si="214"/>
        <v>68881</v>
      </c>
      <c r="O49" s="52">
        <v>2067</v>
      </c>
      <c r="P49" s="52">
        <v>0</v>
      </c>
      <c r="Q49" s="52">
        <v>0</v>
      </c>
      <c r="R49" s="14">
        <f>SUM(O49:Q49)</f>
        <v>2067</v>
      </c>
      <c r="S49" s="100"/>
      <c r="T49" s="100"/>
      <c r="U49" s="100"/>
      <c r="V49" s="100">
        <f>SUM(S49:U49)</f>
        <v>0</v>
      </c>
      <c r="W49" s="100">
        <f t="shared" si="215"/>
        <v>2067</v>
      </c>
      <c r="X49" s="100">
        <f t="shared" si="216"/>
        <v>0</v>
      </c>
      <c r="Y49" s="100">
        <f t="shared" si="217"/>
        <v>0</v>
      </c>
      <c r="Z49" s="100">
        <f t="shared" si="218"/>
        <v>2067</v>
      </c>
      <c r="AA49" s="19">
        <f t="shared" si="219"/>
        <v>13478</v>
      </c>
      <c r="AB49" s="19">
        <f t="shared" si="219"/>
        <v>77315</v>
      </c>
      <c r="AC49" s="19">
        <f t="shared" si="219"/>
        <v>0</v>
      </c>
      <c r="AD49" s="19">
        <f t="shared" si="219"/>
        <v>90793</v>
      </c>
      <c r="AE49" s="19">
        <f t="shared" si="220"/>
        <v>-155</v>
      </c>
      <c r="AF49" s="19">
        <f t="shared" si="220"/>
        <v>-19690</v>
      </c>
      <c r="AG49" s="19">
        <f t="shared" si="220"/>
        <v>0</v>
      </c>
      <c r="AH49" s="19">
        <f t="shared" si="220"/>
        <v>-19845</v>
      </c>
      <c r="AI49" s="19">
        <f t="shared" si="220"/>
        <v>13323</v>
      </c>
      <c r="AJ49" s="19">
        <f t="shared" si="220"/>
        <v>57625</v>
      </c>
      <c r="AK49" s="19">
        <f t="shared" si="220"/>
        <v>0</v>
      </c>
      <c r="AL49" s="19">
        <f t="shared" si="220"/>
        <v>70948</v>
      </c>
    </row>
    <row r="50" spans="1:38" ht="33" thickTop="1" thickBot="1" x14ac:dyDescent="0.3">
      <c r="A50" s="137" t="s">
        <v>1011</v>
      </c>
      <c r="B50" s="137"/>
      <c r="C50" s="21">
        <f t="shared" ref="C50:AL50" si="221">SUM(C48+C39+C38+C20)</f>
        <v>25810635</v>
      </c>
      <c r="D50" s="21">
        <f t="shared" si="221"/>
        <v>1508321</v>
      </c>
      <c r="E50" s="21">
        <f t="shared" si="221"/>
        <v>0</v>
      </c>
      <c r="F50" s="21">
        <f t="shared" si="221"/>
        <v>27318956</v>
      </c>
      <c r="G50" s="21">
        <f t="shared" si="221"/>
        <v>2322331</v>
      </c>
      <c r="H50" s="21">
        <f t="shared" si="221"/>
        <v>40649</v>
      </c>
      <c r="I50" s="21">
        <f t="shared" si="221"/>
        <v>0</v>
      </c>
      <c r="J50" s="21">
        <f t="shared" si="221"/>
        <v>2362980</v>
      </c>
      <c r="K50" s="21">
        <f t="shared" si="221"/>
        <v>28132966</v>
      </c>
      <c r="L50" s="21">
        <f t="shared" si="221"/>
        <v>1548970</v>
      </c>
      <c r="M50" s="21">
        <f t="shared" si="221"/>
        <v>0</v>
      </c>
      <c r="N50" s="21">
        <f t="shared" si="221"/>
        <v>29681936</v>
      </c>
      <c r="O50" s="21">
        <f t="shared" si="221"/>
        <v>2065017</v>
      </c>
      <c r="P50" s="21">
        <f t="shared" si="221"/>
        <v>598541</v>
      </c>
      <c r="Q50" s="21">
        <f t="shared" si="221"/>
        <v>77199</v>
      </c>
      <c r="R50" s="21">
        <f t="shared" si="221"/>
        <v>2740757</v>
      </c>
      <c r="S50" s="21">
        <f t="shared" si="221"/>
        <v>188356</v>
      </c>
      <c r="T50" s="21">
        <f t="shared" si="221"/>
        <v>20176</v>
      </c>
      <c r="U50" s="21">
        <f t="shared" si="221"/>
        <v>0</v>
      </c>
      <c r="V50" s="21">
        <f t="shared" si="221"/>
        <v>208532</v>
      </c>
      <c r="W50" s="21">
        <f t="shared" si="221"/>
        <v>2253373</v>
      </c>
      <c r="X50" s="21">
        <f t="shared" si="221"/>
        <v>618717</v>
      </c>
      <c r="Y50" s="21">
        <f t="shared" si="221"/>
        <v>77199</v>
      </c>
      <c r="Z50" s="21">
        <f t="shared" si="221"/>
        <v>2949289</v>
      </c>
      <c r="AA50" s="21">
        <f t="shared" si="221"/>
        <v>27875652</v>
      </c>
      <c r="AB50" s="21">
        <f t="shared" si="221"/>
        <v>2106862</v>
      </c>
      <c r="AC50" s="21">
        <f t="shared" si="221"/>
        <v>77199</v>
      </c>
      <c r="AD50" s="21">
        <f t="shared" si="221"/>
        <v>30059713</v>
      </c>
      <c r="AE50" s="21">
        <f t="shared" si="221"/>
        <v>2510687</v>
      </c>
      <c r="AF50" s="21">
        <f t="shared" si="221"/>
        <v>60825</v>
      </c>
      <c r="AG50" s="21">
        <f t="shared" si="221"/>
        <v>0</v>
      </c>
      <c r="AH50" s="21">
        <f t="shared" si="221"/>
        <v>2571512</v>
      </c>
      <c r="AI50" s="21">
        <f t="shared" si="221"/>
        <v>30386339</v>
      </c>
      <c r="AJ50" s="21">
        <f t="shared" si="221"/>
        <v>2167687</v>
      </c>
      <c r="AK50" s="21">
        <f t="shared" si="221"/>
        <v>77199</v>
      </c>
      <c r="AL50" s="21">
        <f t="shared" si="221"/>
        <v>32631225</v>
      </c>
    </row>
    <row r="51" spans="1:38" ht="33" thickTop="1" thickBot="1" x14ac:dyDescent="0.3">
      <c r="A51" s="137" t="s">
        <v>1012</v>
      </c>
      <c r="B51" s="137"/>
      <c r="C51" s="21">
        <f t="shared" ref="C51:AL51" si="222">SUM(C23+C47+C49)</f>
        <v>6086745</v>
      </c>
      <c r="D51" s="21">
        <f t="shared" si="222"/>
        <v>4601757</v>
      </c>
      <c r="E51" s="21">
        <f t="shared" si="222"/>
        <v>0</v>
      </c>
      <c r="F51" s="21">
        <f t="shared" si="222"/>
        <v>10688502</v>
      </c>
      <c r="G51" s="21">
        <f t="shared" si="222"/>
        <v>-929302</v>
      </c>
      <c r="H51" s="21">
        <f t="shared" si="222"/>
        <v>-28094</v>
      </c>
      <c r="I51" s="21">
        <f t="shared" si="222"/>
        <v>0</v>
      </c>
      <c r="J51" s="21">
        <f t="shared" si="222"/>
        <v>-957396</v>
      </c>
      <c r="K51" s="21">
        <f t="shared" si="222"/>
        <v>5157443</v>
      </c>
      <c r="L51" s="21">
        <f t="shared" si="222"/>
        <v>4573663</v>
      </c>
      <c r="M51" s="21">
        <f t="shared" si="222"/>
        <v>0</v>
      </c>
      <c r="N51" s="21">
        <f t="shared" si="222"/>
        <v>9731106</v>
      </c>
      <c r="O51" s="21">
        <f t="shared" si="222"/>
        <v>4817</v>
      </c>
      <c r="P51" s="21">
        <f t="shared" si="222"/>
        <v>2866</v>
      </c>
      <c r="Q51" s="21">
        <f t="shared" si="222"/>
        <v>1975</v>
      </c>
      <c r="R51" s="21">
        <f t="shared" si="222"/>
        <v>9658</v>
      </c>
      <c r="S51" s="21">
        <f t="shared" si="222"/>
        <v>1</v>
      </c>
      <c r="T51" s="21">
        <f t="shared" si="222"/>
        <v>19757</v>
      </c>
      <c r="U51" s="21">
        <f t="shared" si="222"/>
        <v>0</v>
      </c>
      <c r="V51" s="21">
        <f t="shared" si="222"/>
        <v>19758</v>
      </c>
      <c r="W51" s="21">
        <f t="shared" si="222"/>
        <v>4818</v>
      </c>
      <c r="X51" s="21">
        <f t="shared" si="222"/>
        <v>22623</v>
      </c>
      <c r="Y51" s="21">
        <f t="shared" si="222"/>
        <v>1975</v>
      </c>
      <c r="Z51" s="21">
        <f t="shared" si="222"/>
        <v>29416</v>
      </c>
      <c r="AA51" s="21">
        <f t="shared" si="222"/>
        <v>6091562</v>
      </c>
      <c r="AB51" s="21">
        <f t="shared" si="222"/>
        <v>4604623</v>
      </c>
      <c r="AC51" s="21">
        <f t="shared" si="222"/>
        <v>1975</v>
      </c>
      <c r="AD51" s="21">
        <f t="shared" si="222"/>
        <v>10698160</v>
      </c>
      <c r="AE51" s="21">
        <f t="shared" si="222"/>
        <v>-929301</v>
      </c>
      <c r="AF51" s="21">
        <f t="shared" si="222"/>
        <v>-8337</v>
      </c>
      <c r="AG51" s="21">
        <f t="shared" si="222"/>
        <v>0</v>
      </c>
      <c r="AH51" s="21">
        <f t="shared" si="222"/>
        <v>-937638</v>
      </c>
      <c r="AI51" s="21">
        <f t="shared" si="222"/>
        <v>5162261</v>
      </c>
      <c r="AJ51" s="21">
        <f t="shared" si="222"/>
        <v>4596286</v>
      </c>
      <c r="AK51" s="21">
        <f t="shared" si="222"/>
        <v>1975</v>
      </c>
      <c r="AL51" s="21">
        <f t="shared" si="222"/>
        <v>9760522</v>
      </c>
    </row>
    <row r="52" spans="1:38" ht="33" thickTop="1" thickBot="1" x14ac:dyDescent="0.3">
      <c r="A52" s="137" t="s">
        <v>1013</v>
      </c>
      <c r="B52" s="137" t="s">
        <v>272</v>
      </c>
      <c r="C52" s="16">
        <f>SUM(C50+C51)</f>
        <v>31897380</v>
      </c>
      <c r="D52" s="16">
        <f t="shared" ref="D52:F52" si="223">SUM(D50+D51)</f>
        <v>6110078</v>
      </c>
      <c r="E52" s="16">
        <f t="shared" si="223"/>
        <v>0</v>
      </c>
      <c r="F52" s="16">
        <f t="shared" si="223"/>
        <v>38007458</v>
      </c>
      <c r="G52" s="16">
        <f t="shared" ref="G52:Q52" si="224">SUM(G50+G51)</f>
        <v>1393029</v>
      </c>
      <c r="H52" s="16">
        <f t="shared" si="224"/>
        <v>12555</v>
      </c>
      <c r="I52" s="16">
        <f t="shared" si="224"/>
        <v>0</v>
      </c>
      <c r="J52" s="16">
        <f t="shared" si="224"/>
        <v>1405584</v>
      </c>
      <c r="K52" s="16">
        <f t="shared" si="224"/>
        <v>33290409</v>
      </c>
      <c r="L52" s="16">
        <f t="shared" si="224"/>
        <v>6122633</v>
      </c>
      <c r="M52" s="16">
        <f t="shared" si="224"/>
        <v>0</v>
      </c>
      <c r="N52" s="16">
        <f t="shared" si="224"/>
        <v>39413042</v>
      </c>
      <c r="O52" s="16">
        <f t="shared" si="224"/>
        <v>2069834</v>
      </c>
      <c r="P52" s="16">
        <f t="shared" si="224"/>
        <v>601407</v>
      </c>
      <c r="Q52" s="16">
        <f t="shared" si="224"/>
        <v>79174</v>
      </c>
      <c r="R52" s="16">
        <f t="shared" ref="R52:AD52" si="225">SUM(R50+R51)</f>
        <v>2750415</v>
      </c>
      <c r="S52" s="16">
        <f t="shared" ref="S52:Z52" si="226">SUM(S50+S51)</f>
        <v>188357</v>
      </c>
      <c r="T52" s="16">
        <f t="shared" si="226"/>
        <v>39933</v>
      </c>
      <c r="U52" s="16">
        <f t="shared" si="226"/>
        <v>0</v>
      </c>
      <c r="V52" s="16">
        <f t="shared" si="226"/>
        <v>228290</v>
      </c>
      <c r="W52" s="16">
        <f t="shared" si="226"/>
        <v>2258191</v>
      </c>
      <c r="X52" s="16">
        <f t="shared" si="226"/>
        <v>641340</v>
      </c>
      <c r="Y52" s="16">
        <f t="shared" si="226"/>
        <v>79174</v>
      </c>
      <c r="Z52" s="16">
        <f t="shared" si="226"/>
        <v>2978705</v>
      </c>
      <c r="AA52" s="16">
        <f t="shared" si="225"/>
        <v>33967214</v>
      </c>
      <c r="AB52" s="16">
        <f t="shared" si="225"/>
        <v>6711485</v>
      </c>
      <c r="AC52" s="16">
        <f t="shared" si="225"/>
        <v>79174</v>
      </c>
      <c r="AD52" s="16">
        <f t="shared" si="225"/>
        <v>40757873</v>
      </c>
      <c r="AE52" s="16">
        <f t="shared" ref="AE52:AL52" si="227">SUM(AE50+AE51)</f>
        <v>1581386</v>
      </c>
      <c r="AF52" s="16">
        <f t="shared" si="227"/>
        <v>52488</v>
      </c>
      <c r="AG52" s="16">
        <f t="shared" si="227"/>
        <v>0</v>
      </c>
      <c r="AH52" s="16">
        <f t="shared" si="227"/>
        <v>1633874</v>
      </c>
      <c r="AI52" s="16">
        <f t="shared" si="227"/>
        <v>35548600</v>
      </c>
      <c r="AJ52" s="16">
        <f t="shared" si="227"/>
        <v>6763973</v>
      </c>
      <c r="AK52" s="16">
        <f t="shared" si="227"/>
        <v>79174</v>
      </c>
      <c r="AL52" s="16">
        <f t="shared" si="227"/>
        <v>42391747</v>
      </c>
    </row>
    <row r="53" spans="1:38" ht="17.25" thickTop="1" thickBot="1" x14ac:dyDescent="0.3">
      <c r="A53" s="137"/>
      <c r="B53" s="138"/>
      <c r="C53" s="534"/>
      <c r="D53" s="535"/>
      <c r="E53" s="534"/>
      <c r="F53" s="20"/>
      <c r="G53" s="20"/>
      <c r="H53" s="20"/>
      <c r="I53" s="20"/>
      <c r="J53" s="20"/>
      <c r="K53" s="20"/>
      <c r="L53" s="20"/>
      <c r="M53" s="20"/>
      <c r="N53" s="20"/>
      <c r="O53" s="21"/>
      <c r="P53" s="21"/>
      <c r="Q53" s="21"/>
      <c r="R53" s="21"/>
      <c r="S53" s="21"/>
      <c r="T53" s="21"/>
      <c r="U53" s="21"/>
      <c r="V53" s="21"/>
      <c r="W53" s="21"/>
      <c r="X53" s="21"/>
      <c r="Y53" s="21"/>
      <c r="Z53" s="21"/>
      <c r="AA53" s="22"/>
      <c r="AB53" s="21"/>
      <c r="AC53" s="21"/>
      <c r="AD53" s="21"/>
      <c r="AE53" s="22"/>
      <c r="AF53" s="21"/>
      <c r="AG53" s="21"/>
      <c r="AH53" s="21"/>
      <c r="AI53" s="22"/>
      <c r="AJ53" s="21"/>
      <c r="AK53" s="21"/>
      <c r="AL53" s="21"/>
    </row>
    <row r="54" spans="1:38" ht="32.25" thickTop="1" x14ac:dyDescent="0.25">
      <c r="A54" s="139" t="s">
        <v>308</v>
      </c>
      <c r="B54" s="139"/>
      <c r="C54" s="140"/>
      <c r="D54" s="141"/>
      <c r="E54" s="536"/>
      <c r="F54" s="142">
        <f>F55-F56</f>
        <v>-15765041</v>
      </c>
      <c r="G54" s="143"/>
      <c r="H54" s="141"/>
      <c r="I54" s="141"/>
      <c r="J54" s="143">
        <f>J55-J56</f>
        <v>-106452</v>
      </c>
      <c r="K54" s="140"/>
      <c r="L54" s="141"/>
      <c r="M54" s="141"/>
      <c r="N54" s="142">
        <f>N55-N56</f>
        <v>-15871493</v>
      </c>
      <c r="O54" s="143"/>
      <c r="P54" s="141"/>
      <c r="Q54" s="141"/>
      <c r="R54" s="142">
        <f>R55-R56</f>
        <v>-12337249</v>
      </c>
      <c r="S54" s="144"/>
      <c r="T54" s="141"/>
      <c r="U54" s="141"/>
      <c r="V54" s="142">
        <f>V55-V56</f>
        <v>-27701</v>
      </c>
      <c r="W54" s="145"/>
      <c r="X54" s="141"/>
      <c r="Y54" s="141"/>
      <c r="Z54" s="146">
        <f>Z55-Z56</f>
        <v>-12364950</v>
      </c>
      <c r="AA54" s="140"/>
      <c r="AB54" s="141"/>
      <c r="AC54" s="141"/>
      <c r="AD54" s="142">
        <f>AD55-AD56</f>
        <v>-28102290</v>
      </c>
      <c r="AE54" s="140"/>
      <c r="AF54" s="141"/>
      <c r="AG54" s="141"/>
      <c r="AH54" s="142">
        <f t="shared" ref="AH54" si="228">AH55-AH56</f>
        <v>-134153</v>
      </c>
      <c r="AI54" s="140"/>
      <c r="AJ54" s="141"/>
      <c r="AK54" s="141"/>
      <c r="AL54" s="142">
        <f t="shared" ref="AL54" si="229">AL55-AL56</f>
        <v>-28236443</v>
      </c>
    </row>
    <row r="55" spans="1:38" x14ac:dyDescent="0.25">
      <c r="A55" s="147" t="s">
        <v>215</v>
      </c>
      <c r="B55" s="147" t="s">
        <v>272</v>
      </c>
      <c r="C55" s="26"/>
      <c r="D55" s="57"/>
      <c r="E55" s="66"/>
      <c r="F55" s="67">
        <f>SUM(F52)</f>
        <v>38007458</v>
      </c>
      <c r="G55" s="59"/>
      <c r="H55" s="57"/>
      <c r="I55" s="57"/>
      <c r="J55" s="59">
        <f>SUM(J52)</f>
        <v>1405584</v>
      </c>
      <c r="K55" s="26"/>
      <c r="L55" s="57"/>
      <c r="M55" s="57"/>
      <c r="N55" s="67">
        <f>SUM(N52)</f>
        <v>39413042</v>
      </c>
      <c r="O55" s="59"/>
      <c r="P55" s="57"/>
      <c r="Q55" s="57"/>
      <c r="R55" s="67">
        <f>SUM(R52)</f>
        <v>2750415</v>
      </c>
      <c r="S55" s="148"/>
      <c r="T55" s="57"/>
      <c r="U55" s="57"/>
      <c r="V55" s="67">
        <f>SUM(V52)</f>
        <v>228290</v>
      </c>
      <c r="W55" s="101"/>
      <c r="X55" s="57"/>
      <c r="Y55" s="57"/>
      <c r="Z55" s="69">
        <f>SUM(Z52)</f>
        <v>2978705</v>
      </c>
      <c r="AA55" s="26"/>
      <c r="AB55" s="57"/>
      <c r="AC55" s="57"/>
      <c r="AD55" s="67">
        <f>SUM(AD52)</f>
        <v>40757873</v>
      </c>
      <c r="AE55" s="26"/>
      <c r="AF55" s="57"/>
      <c r="AG55" s="57"/>
      <c r="AH55" s="67">
        <f t="shared" ref="AH55" si="230">SUM(AH52)</f>
        <v>1633874</v>
      </c>
      <c r="AI55" s="26"/>
      <c r="AJ55" s="57"/>
      <c r="AK55" s="57"/>
      <c r="AL55" s="67">
        <f t="shared" ref="AL55" si="231">SUM(AL52)</f>
        <v>42391747</v>
      </c>
    </row>
    <row r="56" spans="1:38" x14ac:dyDescent="0.25">
      <c r="A56" s="147" t="s">
        <v>216</v>
      </c>
      <c r="B56" s="147" t="s">
        <v>268</v>
      </c>
      <c r="C56" s="26"/>
      <c r="D56" s="57"/>
      <c r="E56" s="66"/>
      <c r="F56" s="67">
        <f>'2 kiadás (kötelező, önként)'!F22</f>
        <v>53772499</v>
      </c>
      <c r="G56" s="59"/>
      <c r="H56" s="57"/>
      <c r="I56" s="57"/>
      <c r="J56" s="59">
        <f>'2 kiadás (kötelező, önként)'!J22</f>
        <v>1512036</v>
      </c>
      <c r="K56" s="26"/>
      <c r="L56" s="57"/>
      <c r="M56" s="57"/>
      <c r="N56" s="67">
        <f>SUM(J56+F56)</f>
        <v>55284535</v>
      </c>
      <c r="O56" s="59"/>
      <c r="P56" s="57"/>
      <c r="Q56" s="57"/>
      <c r="R56" s="67">
        <f>'2 kiadás (kötelező, önként)'!R22</f>
        <v>15087664</v>
      </c>
      <c r="S56" s="148"/>
      <c r="T56" s="57"/>
      <c r="U56" s="57"/>
      <c r="V56" s="67">
        <f>'2 kiadás (kötelező, önként)'!V22</f>
        <v>255991</v>
      </c>
      <c r="W56" s="101"/>
      <c r="X56" s="57"/>
      <c r="Y56" s="57"/>
      <c r="Z56" s="69">
        <f>'2 kiadás (kötelező, önként)'!Z22</f>
        <v>15343655</v>
      </c>
      <c r="AA56" s="26"/>
      <c r="AB56" s="57"/>
      <c r="AC56" s="57"/>
      <c r="AD56" s="71">
        <f>'2 kiadás (kötelező, önként)'!AD22</f>
        <v>68860163</v>
      </c>
      <c r="AE56" s="26"/>
      <c r="AF56" s="57"/>
      <c r="AG56" s="57"/>
      <c r="AH56" s="71">
        <f>'2 kiadás (kötelező, önként)'!AH22</f>
        <v>1768027</v>
      </c>
      <c r="AI56" s="26"/>
      <c r="AJ56" s="57"/>
      <c r="AK56" s="57"/>
      <c r="AL56" s="71">
        <f>'2 kiadás (kötelező, önként)'!AL22</f>
        <v>70628190</v>
      </c>
    </row>
    <row r="57" spans="1:38" x14ac:dyDescent="0.25">
      <c r="A57" s="147"/>
      <c r="B57" s="147"/>
      <c r="C57" s="72"/>
      <c r="D57" s="73"/>
      <c r="E57" s="57"/>
      <c r="F57" s="74"/>
      <c r="G57" s="59"/>
      <c r="H57" s="57"/>
      <c r="I57" s="57"/>
      <c r="J57" s="59"/>
      <c r="K57" s="26"/>
      <c r="L57" s="57"/>
      <c r="M57" s="57"/>
      <c r="N57" s="67"/>
      <c r="O57" s="75"/>
      <c r="P57" s="73"/>
      <c r="Q57" s="73"/>
      <c r="R57" s="67"/>
      <c r="S57" s="148"/>
      <c r="T57" s="57"/>
      <c r="U57" s="57"/>
      <c r="V57" s="67"/>
      <c r="W57" s="101"/>
      <c r="X57" s="57"/>
      <c r="Y57" s="57"/>
      <c r="Z57" s="69"/>
      <c r="AA57" s="26"/>
      <c r="AB57" s="57"/>
      <c r="AC57" s="57"/>
      <c r="AD57" s="71"/>
      <c r="AE57" s="26"/>
      <c r="AF57" s="57"/>
      <c r="AG57" s="57"/>
      <c r="AH57" s="71"/>
      <c r="AI57" s="26"/>
      <c r="AJ57" s="57"/>
      <c r="AK57" s="57"/>
      <c r="AL57" s="71"/>
    </row>
    <row r="58" spans="1:38" x14ac:dyDescent="0.25">
      <c r="A58" s="149" t="s">
        <v>455</v>
      </c>
      <c r="B58" s="149"/>
      <c r="C58" s="537"/>
      <c r="D58" s="538"/>
      <c r="E58" s="538"/>
      <c r="F58" s="539">
        <f>SUM(F64-F65)</f>
        <v>15765041</v>
      </c>
      <c r="G58" s="56"/>
      <c r="H58" s="54"/>
      <c r="I58" s="54"/>
      <c r="J58" s="56">
        <f>SUM(J64-J65)</f>
        <v>106452</v>
      </c>
      <c r="K58" s="42"/>
      <c r="L58" s="54"/>
      <c r="M58" s="54"/>
      <c r="N58" s="68">
        <f>SUM(N64-N65)</f>
        <v>15871493</v>
      </c>
      <c r="O58" s="540"/>
      <c r="P58" s="538"/>
      <c r="Q58" s="538"/>
      <c r="R58" s="68">
        <f>SUM(R64-R65)</f>
        <v>12337249</v>
      </c>
      <c r="S58" s="150"/>
      <c r="T58" s="54"/>
      <c r="U58" s="54"/>
      <c r="V58" s="68">
        <f>SUM(V64-V65)</f>
        <v>27701</v>
      </c>
      <c r="W58" s="102"/>
      <c r="X58" s="54"/>
      <c r="Y58" s="54"/>
      <c r="Z58" s="106">
        <f>SUM(Z64-Z65)</f>
        <v>12364950</v>
      </c>
      <c r="AA58" s="42"/>
      <c r="AB58" s="54"/>
      <c r="AC58" s="54"/>
      <c r="AD58" s="68">
        <f>SUM(AD64-AD65)</f>
        <v>28102290</v>
      </c>
      <c r="AE58" s="42"/>
      <c r="AF58" s="54"/>
      <c r="AG58" s="54"/>
      <c r="AH58" s="68">
        <f>SUM(AH64-AH65)</f>
        <v>134153</v>
      </c>
      <c r="AI58" s="42"/>
      <c r="AJ58" s="54"/>
      <c r="AK58" s="54"/>
      <c r="AL58" s="68">
        <f>SUM(AL64-AL65)</f>
        <v>28236443</v>
      </c>
    </row>
    <row r="59" spans="1:38" ht="31.5" x14ac:dyDescent="0.25">
      <c r="A59" s="27" t="s">
        <v>179</v>
      </c>
      <c r="B59" s="27"/>
      <c r="C59" s="58">
        <v>4721267</v>
      </c>
      <c r="D59" s="25">
        <v>6082918</v>
      </c>
      <c r="E59" s="25"/>
      <c r="F59" s="70">
        <f>SUM(C59:E59)</f>
        <v>10804185</v>
      </c>
      <c r="G59" s="55">
        <v>-124042</v>
      </c>
      <c r="H59" s="25"/>
      <c r="I59" s="25"/>
      <c r="J59" s="55">
        <f>SUM(G59:I59)</f>
        <v>-124042</v>
      </c>
      <c r="K59" s="58">
        <f t="shared" ref="K59:K60" si="232">SUM(G59+C59)</f>
        <v>4597225</v>
      </c>
      <c r="L59" s="25">
        <f t="shared" ref="L59:L60" si="233">SUM(H59+D59)</f>
        <v>6082918</v>
      </c>
      <c r="M59" s="25">
        <f t="shared" ref="M59:M60" si="234">SUM(I59+E59)</f>
        <v>0</v>
      </c>
      <c r="N59" s="70">
        <f t="shared" ref="N59:N60" si="235">SUM(K59:M59)</f>
        <v>10680143</v>
      </c>
      <c r="O59" s="58">
        <v>581296</v>
      </c>
      <c r="P59" s="25">
        <v>237190</v>
      </c>
      <c r="Q59" s="25"/>
      <c r="R59" s="70">
        <f>SUM(O59:Q59)</f>
        <v>818486</v>
      </c>
      <c r="S59" s="151">
        <v>-7627</v>
      </c>
      <c r="T59" s="25">
        <v>-26</v>
      </c>
      <c r="U59" s="25">
        <v>0</v>
      </c>
      <c r="V59" s="70">
        <f>SUM(S59:U59)</f>
        <v>-7653</v>
      </c>
      <c r="W59" s="94">
        <f>SUM(S59+O59)</f>
        <v>573669</v>
      </c>
      <c r="X59" s="25">
        <f>SUM(T59+P59)</f>
        <v>237164</v>
      </c>
      <c r="Y59" s="25">
        <f>SUM(Q59+U59)</f>
        <v>0</v>
      </c>
      <c r="Z59" s="71">
        <f>SUM(W59:Y59)</f>
        <v>810833</v>
      </c>
      <c r="AA59" s="58">
        <f>SUM(O59+C59)</f>
        <v>5302563</v>
      </c>
      <c r="AB59" s="25">
        <f>SUM(P59+D59)</f>
        <v>6320108</v>
      </c>
      <c r="AC59" s="25"/>
      <c r="AD59" s="71">
        <f>SUM(AA59:AC59)</f>
        <v>11622671</v>
      </c>
      <c r="AE59" s="58">
        <f t="shared" ref="AE59:AF62" si="236">SUM(S59+G59)</f>
        <v>-131669</v>
      </c>
      <c r="AF59" s="25">
        <f t="shared" si="236"/>
        <v>-26</v>
      </c>
      <c r="AG59" s="25"/>
      <c r="AH59" s="71">
        <f t="shared" ref="AH59:AH60" si="237">SUM(AE59:AG59)</f>
        <v>-131695</v>
      </c>
      <c r="AI59" s="58">
        <f t="shared" ref="AI59:AJ62" si="238">SUM(W59+K59)</f>
        <v>5170894</v>
      </c>
      <c r="AJ59" s="25">
        <f t="shared" si="238"/>
        <v>6320082</v>
      </c>
      <c r="AK59" s="25"/>
      <c r="AL59" s="71">
        <f t="shared" ref="AL59:AL60" si="239">SUM(AI59:AK59)</f>
        <v>11490976</v>
      </c>
    </row>
    <row r="60" spans="1:38" ht="31.5" x14ac:dyDescent="0.25">
      <c r="A60" s="27" t="s">
        <v>171</v>
      </c>
      <c r="B60" s="27"/>
      <c r="C60" s="58">
        <v>4529586</v>
      </c>
      <c r="D60" s="25">
        <v>12084025</v>
      </c>
      <c r="E60" s="25"/>
      <c r="F60" s="70">
        <f>SUM(C60:E60)</f>
        <v>16613611</v>
      </c>
      <c r="G60" s="55"/>
      <c r="H60" s="25"/>
      <c r="I60" s="25"/>
      <c r="J60" s="55">
        <f>SUM(G60:I60)</f>
        <v>0</v>
      </c>
      <c r="K60" s="58">
        <f t="shared" si="232"/>
        <v>4529586</v>
      </c>
      <c r="L60" s="25">
        <f t="shared" si="233"/>
        <v>12084025</v>
      </c>
      <c r="M60" s="25">
        <f t="shared" si="234"/>
        <v>0</v>
      </c>
      <c r="N60" s="70">
        <f t="shared" si="235"/>
        <v>16613611</v>
      </c>
      <c r="O60" s="58">
        <v>9974</v>
      </c>
      <c r="P60" s="25">
        <v>20000</v>
      </c>
      <c r="Q60" s="25"/>
      <c r="R60" s="70">
        <f>SUM(O60:Q60)</f>
        <v>29974</v>
      </c>
      <c r="S60" s="151"/>
      <c r="T60" s="25"/>
      <c r="U60" s="25"/>
      <c r="V60" s="70">
        <f>SUM(S60:U60)</f>
        <v>0</v>
      </c>
      <c r="W60" s="94">
        <f>SUM(S60+O60)</f>
        <v>9974</v>
      </c>
      <c r="X60" s="25">
        <f>SUM(T60+P60)</f>
        <v>20000</v>
      </c>
      <c r="Y60" s="25">
        <f>SUM(Q60+U60)</f>
        <v>0</v>
      </c>
      <c r="Z60" s="71">
        <f>SUM(W60:Y60)</f>
        <v>29974</v>
      </c>
      <c r="AA60" s="58">
        <f>SUM(O60+C60)</f>
        <v>4539560</v>
      </c>
      <c r="AB60" s="25">
        <f>SUM(P60+D60)</f>
        <v>12104025</v>
      </c>
      <c r="AC60" s="25"/>
      <c r="AD60" s="71">
        <f>SUM(AA60:AC60)</f>
        <v>16643585</v>
      </c>
      <c r="AE60" s="58">
        <f t="shared" si="236"/>
        <v>0</v>
      </c>
      <c r="AF60" s="25">
        <f t="shared" si="236"/>
        <v>0</v>
      </c>
      <c r="AG60" s="25"/>
      <c r="AH60" s="71">
        <f t="shared" si="237"/>
        <v>0</v>
      </c>
      <c r="AI60" s="58">
        <f t="shared" si="238"/>
        <v>4539560</v>
      </c>
      <c r="AJ60" s="25">
        <f t="shared" si="238"/>
        <v>12104025</v>
      </c>
      <c r="AK60" s="25"/>
      <c r="AL60" s="71">
        <f t="shared" si="239"/>
        <v>16643585</v>
      </c>
    </row>
    <row r="61" spans="1:38" x14ac:dyDescent="0.25">
      <c r="A61" s="27" t="s">
        <v>172</v>
      </c>
      <c r="B61" s="27" t="s">
        <v>214</v>
      </c>
      <c r="C61" s="26">
        <f t="shared" ref="C61:F61" si="240">SUM(C59:C60)</f>
        <v>9250853</v>
      </c>
      <c r="D61" s="57">
        <f t="shared" si="240"/>
        <v>18166943</v>
      </c>
      <c r="E61" s="57">
        <f t="shared" si="240"/>
        <v>0</v>
      </c>
      <c r="F61" s="69">
        <f t="shared" si="240"/>
        <v>27417796</v>
      </c>
      <c r="G61" s="59">
        <f t="shared" ref="G61:AD61" si="241">SUM(G59:G60)</f>
        <v>-124042</v>
      </c>
      <c r="H61" s="57">
        <f t="shared" si="241"/>
        <v>0</v>
      </c>
      <c r="I61" s="57">
        <f t="shared" si="241"/>
        <v>0</v>
      </c>
      <c r="J61" s="69">
        <f t="shared" si="241"/>
        <v>-124042</v>
      </c>
      <c r="K61" s="59">
        <f t="shared" si="241"/>
        <v>9126811</v>
      </c>
      <c r="L61" s="57">
        <f t="shared" si="241"/>
        <v>18166943</v>
      </c>
      <c r="M61" s="57">
        <f t="shared" si="241"/>
        <v>0</v>
      </c>
      <c r="N61" s="69">
        <f t="shared" si="241"/>
        <v>27293754</v>
      </c>
      <c r="O61" s="59">
        <f t="shared" ref="O61:Q61" si="242">SUM(O59:O60)</f>
        <v>591270</v>
      </c>
      <c r="P61" s="57">
        <f t="shared" si="242"/>
        <v>257190</v>
      </c>
      <c r="Q61" s="57">
        <f t="shared" si="242"/>
        <v>0</v>
      </c>
      <c r="R61" s="67">
        <f t="shared" si="241"/>
        <v>848460</v>
      </c>
      <c r="S61" s="66">
        <f t="shared" si="241"/>
        <v>-7627</v>
      </c>
      <c r="T61" s="57">
        <f t="shared" si="241"/>
        <v>-26</v>
      </c>
      <c r="U61" s="57">
        <f t="shared" si="241"/>
        <v>0</v>
      </c>
      <c r="V61" s="69">
        <f t="shared" si="241"/>
        <v>-7653</v>
      </c>
      <c r="W61" s="66">
        <f t="shared" si="241"/>
        <v>583643</v>
      </c>
      <c r="X61" s="57">
        <f t="shared" si="241"/>
        <v>257164</v>
      </c>
      <c r="Y61" s="57">
        <f t="shared" si="241"/>
        <v>0</v>
      </c>
      <c r="Z61" s="69">
        <f t="shared" si="241"/>
        <v>840807</v>
      </c>
      <c r="AA61" s="26">
        <f t="shared" si="241"/>
        <v>9842123</v>
      </c>
      <c r="AB61" s="57">
        <f t="shared" si="241"/>
        <v>18424133</v>
      </c>
      <c r="AC61" s="57">
        <f t="shared" si="241"/>
        <v>0</v>
      </c>
      <c r="AD61" s="69">
        <f t="shared" si="241"/>
        <v>28266256</v>
      </c>
      <c r="AE61" s="26">
        <f t="shared" ref="AE61:AL61" si="243">SUM(AE59:AE60)</f>
        <v>-131669</v>
      </c>
      <c r="AF61" s="57">
        <f t="shared" si="243"/>
        <v>-26</v>
      </c>
      <c r="AG61" s="57">
        <f t="shared" si="243"/>
        <v>0</v>
      </c>
      <c r="AH61" s="69">
        <f t="shared" si="243"/>
        <v>-131695</v>
      </c>
      <c r="AI61" s="26">
        <f t="shared" si="243"/>
        <v>9710454</v>
      </c>
      <c r="AJ61" s="57">
        <f t="shared" si="243"/>
        <v>18424107</v>
      </c>
      <c r="AK61" s="57">
        <f t="shared" si="243"/>
        <v>0</v>
      </c>
      <c r="AL61" s="69">
        <f t="shared" si="243"/>
        <v>28134561</v>
      </c>
    </row>
    <row r="62" spans="1:38" x14ac:dyDescent="0.25">
      <c r="A62" s="152" t="s">
        <v>1200</v>
      </c>
      <c r="B62" s="152" t="s">
        <v>1201</v>
      </c>
      <c r="C62" s="72"/>
      <c r="D62" s="73"/>
      <c r="E62" s="73"/>
      <c r="F62" s="74">
        <f t="shared" ref="F62" si="244">SUM(C62:E62)</f>
        <v>0</v>
      </c>
      <c r="G62" s="75">
        <v>265848</v>
      </c>
      <c r="H62" s="73"/>
      <c r="I62" s="73"/>
      <c r="J62" s="75">
        <f>SUM(G62:I62)</f>
        <v>265848</v>
      </c>
      <c r="K62" s="99">
        <f t="shared" ref="K62" si="245">SUM(G62+C62)</f>
        <v>265848</v>
      </c>
      <c r="L62" s="73">
        <f t="shared" ref="L62" si="246">SUM(H62+D62)</f>
        <v>0</v>
      </c>
      <c r="M62" s="73">
        <f t="shared" ref="M62" si="247">SUM(I62+E62)</f>
        <v>0</v>
      </c>
      <c r="N62" s="74">
        <f t="shared" ref="N62" si="248">SUM(K62:M62)</f>
        <v>265848</v>
      </c>
      <c r="O62" s="75"/>
      <c r="P62" s="73"/>
      <c r="Q62" s="73"/>
      <c r="R62" s="541">
        <f>SUM(O62:Q62)</f>
        <v>0</v>
      </c>
      <c r="S62" s="99"/>
      <c r="T62" s="73"/>
      <c r="U62" s="73"/>
      <c r="V62" s="74">
        <f>SUM(S62:U62)</f>
        <v>0</v>
      </c>
      <c r="W62" s="75">
        <f t="shared" ref="W62" si="249">SUM(S62+O62)</f>
        <v>0</v>
      </c>
      <c r="X62" s="73">
        <f t="shared" ref="X62" si="250">SUM(T62+P62)</f>
        <v>0</v>
      </c>
      <c r="Y62" s="73">
        <f t="shared" ref="Y62" si="251">SUM(Q62+U62)</f>
        <v>0</v>
      </c>
      <c r="Z62" s="74">
        <f>SUM(W62:Y62)</f>
        <v>0</v>
      </c>
      <c r="AA62" s="72">
        <f>SUM(O62)</f>
        <v>0</v>
      </c>
      <c r="AB62" s="73">
        <f>SUM(P62+D62)</f>
        <v>0</v>
      </c>
      <c r="AC62" s="73">
        <f>SUM(Q62+E62)</f>
        <v>0</v>
      </c>
      <c r="AD62" s="74">
        <f>SUM(AA62:AC62)</f>
        <v>0</v>
      </c>
      <c r="AE62" s="58">
        <f t="shared" si="236"/>
        <v>265848</v>
      </c>
      <c r="AF62" s="73">
        <f t="shared" ref="AF62" si="252">SUM(T62+H62)</f>
        <v>0</v>
      </c>
      <c r="AG62" s="73">
        <f t="shared" ref="AG62" si="253">SUM(U62+I62)</f>
        <v>0</v>
      </c>
      <c r="AH62" s="74">
        <f t="shared" ref="AH62" si="254">SUM(AE62:AG62)</f>
        <v>265848</v>
      </c>
      <c r="AI62" s="58">
        <f t="shared" si="238"/>
        <v>265848</v>
      </c>
      <c r="AJ62" s="73">
        <f t="shared" ref="AJ62" si="255">SUM(X62+L62)</f>
        <v>0</v>
      </c>
      <c r="AK62" s="73">
        <f t="shared" ref="AK62" si="256">SUM(Y62+M62)</f>
        <v>0</v>
      </c>
      <c r="AL62" s="74">
        <f t="shared" ref="AL62" si="257">SUM(AI62:AK62)</f>
        <v>265848</v>
      </c>
    </row>
    <row r="63" spans="1:38" x14ac:dyDescent="0.25">
      <c r="A63" s="152" t="s">
        <v>309</v>
      </c>
      <c r="B63" s="152" t="s">
        <v>310</v>
      </c>
      <c r="C63" s="72"/>
      <c r="D63" s="73"/>
      <c r="E63" s="73"/>
      <c r="F63" s="74">
        <f t="shared" ref="F63" si="258">SUM(C63:E63)</f>
        <v>0</v>
      </c>
      <c r="G63" s="75"/>
      <c r="H63" s="73"/>
      <c r="I63" s="73"/>
      <c r="J63" s="75">
        <f>SUM(G63:I63)</f>
        <v>0</v>
      </c>
      <c r="K63" s="99">
        <f t="shared" ref="K63" si="259">SUM(G63+C63)</f>
        <v>0</v>
      </c>
      <c r="L63" s="73">
        <f t="shared" ref="L63" si="260">SUM(H63+D63)</f>
        <v>0</v>
      </c>
      <c r="M63" s="73">
        <f t="shared" ref="M63" si="261">SUM(I63+E63)</f>
        <v>0</v>
      </c>
      <c r="N63" s="74">
        <f t="shared" ref="N63" si="262">SUM(K63:M63)</f>
        <v>0</v>
      </c>
      <c r="O63" s="75">
        <v>8637365</v>
      </c>
      <c r="P63" s="73">
        <v>1941268</v>
      </c>
      <c r="Q63" s="73">
        <v>910156</v>
      </c>
      <c r="R63" s="541">
        <f>SUM(O63:Q63)</f>
        <v>11488789</v>
      </c>
      <c r="S63" s="99">
        <v>35807</v>
      </c>
      <c r="T63" s="73">
        <v>-453</v>
      </c>
      <c r="U63" s="73"/>
      <c r="V63" s="74">
        <f>SUM(S63:U63)</f>
        <v>35354</v>
      </c>
      <c r="W63" s="75">
        <f t="shared" ref="W63" si="263">SUM(S63+O63)</f>
        <v>8673172</v>
      </c>
      <c r="X63" s="73">
        <f t="shared" ref="X63" si="264">SUM(T63+P63)</f>
        <v>1940815</v>
      </c>
      <c r="Y63" s="73">
        <f t="shared" ref="Y63" si="265">SUM(Q63+U63)</f>
        <v>910156</v>
      </c>
      <c r="Z63" s="74">
        <f>SUM(W63:Y63)</f>
        <v>11524143</v>
      </c>
      <c r="AA63" s="72">
        <f>SUM(O63)</f>
        <v>8637365</v>
      </c>
      <c r="AB63" s="73">
        <f>SUM(P63+D63)</f>
        <v>1941268</v>
      </c>
      <c r="AC63" s="73">
        <f>SUM(Q63+E63)</f>
        <v>910156</v>
      </c>
      <c r="AD63" s="74">
        <f>SUM(AA63:AC63)</f>
        <v>11488789</v>
      </c>
      <c r="AE63" s="72">
        <f t="shared" ref="AE63" si="266">SUM(S63)</f>
        <v>35807</v>
      </c>
      <c r="AF63" s="73">
        <f t="shared" ref="AF63:AG63" si="267">SUM(T63+H63)</f>
        <v>-453</v>
      </c>
      <c r="AG63" s="73">
        <f t="shared" si="267"/>
        <v>0</v>
      </c>
      <c r="AH63" s="74">
        <f t="shared" ref="AH63" si="268">SUM(AE63:AG63)</f>
        <v>35354</v>
      </c>
      <c r="AI63" s="72">
        <f t="shared" ref="AI63" si="269">SUM(W63)</f>
        <v>8673172</v>
      </c>
      <c r="AJ63" s="73">
        <f t="shared" ref="AJ63:AK63" si="270">SUM(X63+L63)</f>
        <v>1940815</v>
      </c>
      <c r="AK63" s="73">
        <f t="shared" si="270"/>
        <v>910156</v>
      </c>
      <c r="AL63" s="74">
        <f t="shared" ref="AL63" si="271">SUM(AI63:AK63)</f>
        <v>11524143</v>
      </c>
    </row>
    <row r="64" spans="1:38" s="128" customFormat="1" ht="34.5" customHeight="1" x14ac:dyDescent="0.25">
      <c r="A64" s="153" t="s">
        <v>1202</v>
      </c>
      <c r="B64" s="153" t="s">
        <v>173</v>
      </c>
      <c r="C64" s="76">
        <f t="shared" ref="C64:AL64" si="272">SUM(C61:C63)</f>
        <v>9250853</v>
      </c>
      <c r="D64" s="77">
        <f t="shared" si="272"/>
        <v>18166943</v>
      </c>
      <c r="E64" s="77">
        <f t="shared" si="272"/>
        <v>0</v>
      </c>
      <c r="F64" s="78">
        <f t="shared" si="272"/>
        <v>27417796</v>
      </c>
      <c r="G64" s="79">
        <f t="shared" si="272"/>
        <v>141806</v>
      </c>
      <c r="H64" s="84">
        <f t="shared" si="272"/>
        <v>0</v>
      </c>
      <c r="I64" s="84">
        <f t="shared" si="272"/>
        <v>0</v>
      </c>
      <c r="J64" s="78">
        <f t="shared" si="272"/>
        <v>141806</v>
      </c>
      <c r="K64" s="79">
        <f t="shared" si="272"/>
        <v>9392659</v>
      </c>
      <c r="L64" s="84">
        <f t="shared" si="272"/>
        <v>18166943</v>
      </c>
      <c r="M64" s="84">
        <f t="shared" si="272"/>
        <v>0</v>
      </c>
      <c r="N64" s="78">
        <f t="shared" si="272"/>
        <v>27559602</v>
      </c>
      <c r="O64" s="79">
        <f t="shared" si="272"/>
        <v>9228635</v>
      </c>
      <c r="P64" s="77">
        <f t="shared" si="272"/>
        <v>2198458</v>
      </c>
      <c r="Q64" s="77">
        <f t="shared" si="272"/>
        <v>910156</v>
      </c>
      <c r="R64" s="80">
        <f t="shared" si="272"/>
        <v>12337249</v>
      </c>
      <c r="S64" s="105">
        <f t="shared" si="272"/>
        <v>28180</v>
      </c>
      <c r="T64" s="84">
        <f t="shared" si="272"/>
        <v>-479</v>
      </c>
      <c r="U64" s="84">
        <f t="shared" si="272"/>
        <v>0</v>
      </c>
      <c r="V64" s="78">
        <f t="shared" si="272"/>
        <v>27701</v>
      </c>
      <c r="W64" s="105">
        <f t="shared" si="272"/>
        <v>9256815</v>
      </c>
      <c r="X64" s="84">
        <f t="shared" si="272"/>
        <v>2197979</v>
      </c>
      <c r="Y64" s="84">
        <f t="shared" si="272"/>
        <v>910156</v>
      </c>
      <c r="Z64" s="78">
        <f t="shared" si="272"/>
        <v>12364950</v>
      </c>
      <c r="AA64" s="76">
        <f t="shared" si="272"/>
        <v>18479488</v>
      </c>
      <c r="AB64" s="77">
        <f t="shared" si="272"/>
        <v>20365401</v>
      </c>
      <c r="AC64" s="77">
        <f t="shared" si="272"/>
        <v>910156</v>
      </c>
      <c r="AD64" s="78">
        <f t="shared" si="272"/>
        <v>39755045</v>
      </c>
      <c r="AE64" s="104">
        <f t="shared" si="272"/>
        <v>169986</v>
      </c>
      <c r="AF64" s="84">
        <f t="shared" si="272"/>
        <v>-479</v>
      </c>
      <c r="AG64" s="84">
        <f t="shared" si="272"/>
        <v>0</v>
      </c>
      <c r="AH64" s="103">
        <f t="shared" si="272"/>
        <v>169507</v>
      </c>
      <c r="AI64" s="104">
        <f t="shared" si="272"/>
        <v>18649474</v>
      </c>
      <c r="AJ64" s="84">
        <f t="shared" si="272"/>
        <v>20364922</v>
      </c>
      <c r="AK64" s="84">
        <f t="shared" si="272"/>
        <v>910156</v>
      </c>
      <c r="AL64" s="87">
        <f t="shared" si="272"/>
        <v>39924552</v>
      </c>
    </row>
    <row r="65" spans="1:38" s="128" customFormat="1" x14ac:dyDescent="0.25">
      <c r="A65" s="153" t="s">
        <v>792</v>
      </c>
      <c r="B65" s="153" t="s">
        <v>209</v>
      </c>
      <c r="C65" s="76">
        <f>'2 kiadás (kötelező, önként)'!C25</f>
        <v>8801331</v>
      </c>
      <c r="D65" s="77">
        <f>'2 kiadás (kötelező, önként)'!D25</f>
        <v>1941268</v>
      </c>
      <c r="E65" s="77">
        <f>'2 kiadás (kötelező, önként)'!E25</f>
        <v>910156</v>
      </c>
      <c r="F65" s="78">
        <f>SUM(C65:E65)</f>
        <v>11652755</v>
      </c>
      <c r="G65" s="79">
        <f>'2 kiadás (kötelező, önként)'!G25</f>
        <v>35807</v>
      </c>
      <c r="H65" s="84">
        <f>'2 kiadás (kötelező, önként)'!H25</f>
        <v>-453</v>
      </c>
      <c r="I65" s="84">
        <f>'2 kiadás (kötelező, önként)'!I25</f>
        <v>0</v>
      </c>
      <c r="J65" s="79">
        <f>SUM(G65:I65)</f>
        <v>35354</v>
      </c>
      <c r="K65" s="76">
        <f t="shared" ref="K65" si="273">SUM(G65+C65)</f>
        <v>8837138</v>
      </c>
      <c r="L65" s="77">
        <f t="shared" ref="L65" si="274">SUM(H65+D65)</f>
        <v>1940815</v>
      </c>
      <c r="M65" s="77">
        <f t="shared" ref="M65" si="275">SUM(I65+E65)</f>
        <v>910156</v>
      </c>
      <c r="N65" s="80">
        <f t="shared" ref="N65" si="276">SUM(K65:M65)</f>
        <v>11688109</v>
      </c>
      <c r="O65" s="79"/>
      <c r="P65" s="77"/>
      <c r="Q65" s="77"/>
      <c r="R65" s="80">
        <f>SUM(O65:Q65)</f>
        <v>0</v>
      </c>
      <c r="S65" s="104"/>
      <c r="T65" s="77"/>
      <c r="U65" s="77"/>
      <c r="V65" s="80">
        <f>SUM(S65:U65)</f>
        <v>0</v>
      </c>
      <c r="W65" s="103">
        <f>SUM(S65+O65)</f>
        <v>0</v>
      </c>
      <c r="X65" s="77">
        <f>SUM(T65+P65)</f>
        <v>0</v>
      </c>
      <c r="Y65" s="77">
        <f>SUM(Q65+U65)</f>
        <v>0</v>
      </c>
      <c r="Z65" s="78">
        <f>SUM(W65:Y65)</f>
        <v>0</v>
      </c>
      <c r="AA65" s="76">
        <f>SUM(O65+C65)</f>
        <v>8801331</v>
      </c>
      <c r="AB65" s="77">
        <f>SUM(P65+D65)</f>
        <v>1941268</v>
      </c>
      <c r="AC65" s="77">
        <f>SUM(Q65+E65)</f>
        <v>910156</v>
      </c>
      <c r="AD65" s="78">
        <f>SUM(AA65:AC65)</f>
        <v>11652755</v>
      </c>
      <c r="AE65" s="76">
        <f t="shared" ref="AE65:AG65" si="277">SUM(S65+G65)</f>
        <v>35807</v>
      </c>
      <c r="AF65" s="77">
        <f t="shared" si="277"/>
        <v>-453</v>
      </c>
      <c r="AG65" s="77">
        <f t="shared" si="277"/>
        <v>0</v>
      </c>
      <c r="AH65" s="78">
        <f t="shared" ref="AH65" si="278">SUM(AE65:AG65)</f>
        <v>35354</v>
      </c>
      <c r="AI65" s="76">
        <f t="shared" ref="AI65:AK65" si="279">SUM(W65+K65)</f>
        <v>8837138</v>
      </c>
      <c r="AJ65" s="77">
        <f t="shared" si="279"/>
        <v>1940815</v>
      </c>
      <c r="AK65" s="77">
        <f t="shared" si="279"/>
        <v>910156</v>
      </c>
      <c r="AL65" s="78">
        <f t="shared" ref="AL65" si="280">SUM(AI65:AK65)</f>
        <v>11688109</v>
      </c>
    </row>
    <row r="66" spans="1:38" s="162" customFormat="1" ht="16.5" thickBot="1" x14ac:dyDescent="0.3">
      <c r="A66" s="154" t="s">
        <v>456</v>
      </c>
      <c r="B66" s="154"/>
      <c r="C66" s="155"/>
      <c r="D66" s="156"/>
      <c r="E66" s="156"/>
      <c r="F66" s="157">
        <f>SUM(F54+F58)</f>
        <v>0</v>
      </c>
      <c r="G66" s="158"/>
      <c r="H66" s="156"/>
      <c r="I66" s="156"/>
      <c r="J66" s="158">
        <f>SUM(J54+J58)</f>
        <v>0</v>
      </c>
      <c r="K66" s="155"/>
      <c r="L66" s="156"/>
      <c r="M66" s="156"/>
      <c r="N66" s="159">
        <f>SUM(N54+N58)</f>
        <v>0</v>
      </c>
      <c r="O66" s="158"/>
      <c r="P66" s="156"/>
      <c r="Q66" s="156"/>
      <c r="R66" s="159">
        <f>SUM(R54+R58)</f>
        <v>0</v>
      </c>
      <c r="S66" s="160"/>
      <c r="T66" s="156"/>
      <c r="U66" s="156"/>
      <c r="V66" s="159">
        <f>SUM(V54+V58)</f>
        <v>0</v>
      </c>
      <c r="W66" s="161"/>
      <c r="X66" s="156"/>
      <c r="Y66" s="156"/>
      <c r="Z66" s="157">
        <f>SUM(Z54+Z58)</f>
        <v>0</v>
      </c>
      <c r="AA66" s="155"/>
      <c r="AB66" s="156"/>
      <c r="AC66" s="156"/>
      <c r="AD66" s="157">
        <f>SUM(AD54+AD58)</f>
        <v>0</v>
      </c>
      <c r="AE66" s="155"/>
      <c r="AF66" s="156"/>
      <c r="AG66" s="156"/>
      <c r="AH66" s="157">
        <f>SUM(AH54+AH58)</f>
        <v>0</v>
      </c>
      <c r="AI66" s="155"/>
      <c r="AJ66" s="156"/>
      <c r="AK66" s="156"/>
      <c r="AL66" s="157">
        <f>SUM(AL54+AL58)</f>
        <v>0</v>
      </c>
    </row>
    <row r="67" spans="1:38" s="162" customFormat="1" ht="29.25" customHeight="1" thickTop="1" x14ac:dyDescent="0.25">
      <c r="A67" s="163"/>
      <c r="B67" s="163"/>
      <c r="C67" s="163"/>
      <c r="D67" s="163"/>
      <c r="E67" s="163"/>
      <c r="F67" s="163"/>
      <c r="G67" s="163"/>
      <c r="H67" s="163"/>
      <c r="I67" s="163"/>
      <c r="J67" s="163"/>
      <c r="K67" s="163"/>
      <c r="L67" s="163"/>
      <c r="M67" s="163"/>
      <c r="N67" s="163"/>
      <c r="O67" s="163"/>
      <c r="P67" s="163"/>
      <c r="Q67" s="163"/>
      <c r="R67" s="163"/>
      <c r="S67" s="163"/>
      <c r="T67" s="163"/>
      <c r="U67" s="163"/>
      <c r="V67" s="163"/>
      <c r="W67" s="163"/>
      <c r="X67" s="163"/>
      <c r="Y67" s="163"/>
      <c r="Z67" s="163"/>
      <c r="AA67" s="163"/>
      <c r="AE67" s="163"/>
      <c r="AI67" s="163"/>
    </row>
    <row r="68" spans="1:38" s="162" customFormat="1" x14ac:dyDescent="0.25">
      <c r="A68" s="163"/>
      <c r="B68" s="163"/>
      <c r="C68" s="163"/>
      <c r="D68" s="163"/>
      <c r="E68" s="163"/>
      <c r="F68" s="163"/>
      <c r="G68" s="163"/>
      <c r="H68" s="163"/>
      <c r="I68" s="163"/>
      <c r="J68" s="163"/>
      <c r="K68" s="163"/>
      <c r="L68" s="163"/>
      <c r="M68" s="163"/>
      <c r="N68" s="163"/>
      <c r="O68" s="163"/>
      <c r="P68" s="163"/>
      <c r="Q68" s="163"/>
      <c r="R68" s="163"/>
      <c r="S68" s="163"/>
      <c r="T68" s="163"/>
      <c r="U68" s="163"/>
      <c r="V68" s="163"/>
      <c r="W68" s="163"/>
      <c r="X68" s="163"/>
      <c r="Y68" s="163"/>
      <c r="Z68" s="163"/>
      <c r="AA68" s="163"/>
      <c r="AB68" s="163"/>
      <c r="AC68" s="163"/>
      <c r="AD68" s="163"/>
      <c r="AE68" s="163"/>
      <c r="AF68" s="163"/>
      <c r="AG68" s="163"/>
      <c r="AH68" s="163"/>
      <c r="AI68" s="163"/>
      <c r="AJ68" s="163"/>
      <c r="AK68" s="163"/>
      <c r="AL68" s="163"/>
    </row>
    <row r="69" spans="1:38" s="162" customFormat="1" x14ac:dyDescent="0.25">
      <c r="A69" s="163"/>
    </row>
    <row r="70" spans="1:38" s="162" customFormat="1" x14ac:dyDescent="0.25">
      <c r="A70" s="163"/>
    </row>
    <row r="71" spans="1:38" s="162" customFormat="1" x14ac:dyDescent="0.25">
      <c r="A71" s="163"/>
    </row>
    <row r="72" spans="1:38" s="162" customFormat="1" x14ac:dyDescent="0.25"/>
    <row r="73" spans="1:38" s="162" customFormat="1" x14ac:dyDescent="0.25"/>
    <row r="74" spans="1:38" s="162" customFormat="1" x14ac:dyDescent="0.25">
      <c r="A74" s="164"/>
      <c r="B74" s="164"/>
    </row>
    <row r="75" spans="1:38" s="165" customFormat="1" x14ac:dyDescent="0.25">
      <c r="A75" s="24"/>
      <c r="B75" s="24"/>
      <c r="C75" s="162"/>
      <c r="D75" s="162"/>
      <c r="E75" s="162"/>
      <c r="F75" s="162"/>
      <c r="G75" s="162"/>
      <c r="H75" s="162"/>
      <c r="I75" s="162"/>
      <c r="J75" s="162"/>
      <c r="K75" s="162"/>
      <c r="L75" s="162"/>
      <c r="M75" s="162"/>
      <c r="N75" s="162"/>
      <c r="O75" s="162"/>
      <c r="P75" s="162"/>
      <c r="Q75" s="162"/>
      <c r="R75" s="162"/>
      <c r="S75" s="162"/>
      <c r="T75" s="162"/>
      <c r="U75" s="162"/>
      <c r="V75" s="162"/>
      <c r="W75" s="162"/>
      <c r="X75" s="162"/>
      <c r="Y75" s="162"/>
      <c r="Z75" s="162"/>
      <c r="AA75" s="162"/>
      <c r="AB75" s="162"/>
      <c r="AC75" s="162"/>
      <c r="AD75" s="162"/>
      <c r="AE75" s="162"/>
      <c r="AF75" s="162"/>
      <c r="AG75" s="162"/>
      <c r="AH75" s="162"/>
      <c r="AI75" s="162"/>
      <c r="AJ75" s="162"/>
      <c r="AK75" s="162"/>
      <c r="AL75" s="162"/>
    </row>
    <row r="76" spans="1:38" s="165" customFormat="1" x14ac:dyDescent="0.25">
      <c r="A76" s="166"/>
      <c r="B76" s="166"/>
      <c r="C76" s="162"/>
      <c r="D76" s="162"/>
      <c r="E76" s="162"/>
      <c r="F76" s="162"/>
      <c r="G76" s="162"/>
      <c r="H76" s="162"/>
      <c r="I76" s="162"/>
      <c r="J76" s="162"/>
      <c r="K76" s="162"/>
      <c r="L76" s="162"/>
      <c r="M76" s="162"/>
      <c r="N76" s="162"/>
      <c r="O76" s="162"/>
      <c r="P76" s="162"/>
      <c r="Q76" s="162"/>
      <c r="R76" s="162"/>
      <c r="S76" s="162"/>
      <c r="T76" s="162"/>
      <c r="U76" s="162"/>
      <c r="V76" s="162"/>
      <c r="W76" s="162"/>
      <c r="X76" s="162"/>
      <c r="Y76" s="162"/>
      <c r="Z76" s="162"/>
      <c r="AA76" s="162"/>
      <c r="AB76" s="162"/>
      <c r="AC76" s="162"/>
      <c r="AD76" s="162"/>
      <c r="AE76" s="162"/>
      <c r="AF76" s="162"/>
      <c r="AG76" s="162"/>
      <c r="AH76" s="162"/>
      <c r="AI76" s="162"/>
      <c r="AJ76" s="162"/>
      <c r="AK76" s="162"/>
      <c r="AL76" s="162"/>
    </row>
    <row r="77" spans="1:38" s="165" customFormat="1" x14ac:dyDescent="0.25">
      <c r="A77" s="167"/>
      <c r="B77" s="167"/>
    </row>
    <row r="78" spans="1:38" s="165" customFormat="1" x14ac:dyDescent="0.25">
      <c r="A78" s="168"/>
      <c r="B78" s="168"/>
    </row>
    <row r="79" spans="1:38" s="165" customFormat="1" x14ac:dyDescent="0.25">
      <c r="A79" s="169"/>
      <c r="B79" s="169"/>
    </row>
    <row r="80" spans="1:38" s="165" customFormat="1" x14ac:dyDescent="0.25">
      <c r="A80" s="167"/>
      <c r="B80" s="167"/>
    </row>
    <row r="81" spans="1:38" s="165" customFormat="1" x14ac:dyDescent="0.25">
      <c r="A81" s="168"/>
      <c r="B81" s="168"/>
    </row>
    <row r="82" spans="1:38" s="165" customFormat="1" x14ac:dyDescent="0.25">
      <c r="A82" s="168"/>
      <c r="B82" s="168"/>
    </row>
    <row r="83" spans="1:38" s="165" customFormat="1" x14ac:dyDescent="0.25">
      <c r="A83" s="167"/>
      <c r="B83" s="167"/>
    </row>
    <row r="84" spans="1:38" s="165" customFormat="1" x14ac:dyDescent="0.25">
      <c r="A84" s="168"/>
      <c r="B84" s="168"/>
    </row>
    <row r="85" spans="1:38" s="165" customFormat="1" x14ac:dyDescent="0.25">
      <c r="A85" s="168"/>
      <c r="B85" s="168"/>
    </row>
    <row r="86" spans="1:38" s="165" customFormat="1" x14ac:dyDescent="0.25">
      <c r="A86" s="168"/>
      <c r="B86" s="168"/>
    </row>
    <row r="87" spans="1:38" s="165" customFormat="1" x14ac:dyDescent="0.25">
      <c r="A87" s="168"/>
      <c r="B87" s="168"/>
    </row>
    <row r="88" spans="1:38" s="165" customFormat="1" x14ac:dyDescent="0.25">
      <c r="A88" s="167"/>
      <c r="B88" s="167"/>
    </row>
    <row r="89" spans="1:38" s="165" customFormat="1" x14ac:dyDescent="0.25">
      <c r="A89" s="168"/>
      <c r="B89" s="168"/>
    </row>
    <row r="90" spans="1:38" s="165" customFormat="1" x14ac:dyDescent="0.25">
      <c r="A90" s="168"/>
      <c r="B90" s="168"/>
    </row>
    <row r="91" spans="1:38" s="165" customFormat="1" x14ac:dyDescent="0.25">
      <c r="A91" s="168"/>
      <c r="B91" s="168"/>
    </row>
    <row r="92" spans="1:38" s="165" customFormat="1" x14ac:dyDescent="0.25">
      <c r="A92" s="168"/>
      <c r="B92" s="168"/>
    </row>
    <row r="93" spans="1:38" s="165" customFormat="1" x14ac:dyDescent="0.25">
      <c r="A93" s="168"/>
      <c r="B93" s="168"/>
    </row>
    <row r="94" spans="1:38" x14ac:dyDescent="0.25">
      <c r="A94" s="168"/>
      <c r="B94" s="168"/>
      <c r="C94" s="165"/>
      <c r="D94" s="165"/>
      <c r="E94" s="165"/>
      <c r="F94" s="165"/>
      <c r="G94" s="165"/>
      <c r="H94" s="165"/>
      <c r="I94" s="165"/>
      <c r="J94" s="165"/>
      <c r="K94" s="165"/>
      <c r="L94" s="165"/>
      <c r="M94" s="165"/>
      <c r="N94" s="165"/>
      <c r="O94" s="165"/>
      <c r="P94" s="165"/>
      <c r="Q94" s="165"/>
      <c r="R94" s="165"/>
      <c r="S94" s="165"/>
      <c r="T94" s="165"/>
      <c r="U94" s="165"/>
      <c r="V94" s="165"/>
      <c r="W94" s="165"/>
      <c r="X94" s="165"/>
      <c r="Y94" s="165"/>
      <c r="Z94" s="165"/>
      <c r="AA94" s="165"/>
      <c r="AB94" s="165"/>
      <c r="AC94" s="165"/>
      <c r="AD94" s="165"/>
      <c r="AE94" s="165"/>
      <c r="AF94" s="165"/>
      <c r="AG94" s="165"/>
      <c r="AH94" s="165"/>
      <c r="AI94" s="165"/>
      <c r="AJ94" s="165"/>
      <c r="AK94" s="165"/>
      <c r="AL94" s="165"/>
    </row>
    <row r="95" spans="1:38" x14ac:dyDescent="0.25">
      <c r="A95" s="168"/>
      <c r="B95" s="168"/>
      <c r="C95" s="165"/>
      <c r="D95" s="165"/>
      <c r="E95" s="165"/>
      <c r="F95" s="165"/>
      <c r="G95" s="165"/>
      <c r="H95" s="165"/>
      <c r="I95" s="165"/>
      <c r="J95" s="165"/>
      <c r="K95" s="165"/>
      <c r="L95" s="165"/>
      <c r="M95" s="165"/>
      <c r="N95" s="165"/>
      <c r="O95" s="165"/>
      <c r="P95" s="165"/>
      <c r="Q95" s="165"/>
      <c r="R95" s="165"/>
      <c r="S95" s="165"/>
      <c r="T95" s="165"/>
      <c r="U95" s="165"/>
      <c r="V95" s="165"/>
      <c r="W95" s="165"/>
      <c r="X95" s="165"/>
      <c r="Y95" s="165"/>
      <c r="Z95" s="165"/>
      <c r="AA95" s="165"/>
      <c r="AB95" s="165"/>
      <c r="AC95" s="165"/>
      <c r="AD95" s="165"/>
      <c r="AE95" s="165"/>
      <c r="AF95" s="165"/>
      <c r="AG95" s="165"/>
      <c r="AH95" s="165"/>
      <c r="AI95" s="165"/>
      <c r="AJ95" s="165"/>
      <c r="AK95" s="165"/>
      <c r="AL95" s="165"/>
    </row>
    <row r="96" spans="1:38" x14ac:dyDescent="0.25">
      <c r="A96" s="170"/>
      <c r="B96" s="170"/>
    </row>
    <row r="97" spans="1:2" x14ac:dyDescent="0.25">
      <c r="A97" s="170"/>
      <c r="B97" s="170"/>
    </row>
    <row r="98" spans="1:2" x14ac:dyDescent="0.25">
      <c r="A98" s="170"/>
      <c r="B98" s="170"/>
    </row>
    <row r="99" spans="1:2" x14ac:dyDescent="0.25">
      <c r="A99" s="170"/>
      <c r="B99" s="170"/>
    </row>
    <row r="100" spans="1:2" x14ac:dyDescent="0.25">
      <c r="A100" s="170"/>
      <c r="B100" s="170"/>
    </row>
    <row r="101" spans="1:2" x14ac:dyDescent="0.25">
      <c r="A101" s="170"/>
      <c r="B101" s="170"/>
    </row>
    <row r="102" spans="1:2" x14ac:dyDescent="0.25">
      <c r="A102" s="170"/>
      <c r="B102" s="170"/>
    </row>
    <row r="103" spans="1:2" x14ac:dyDescent="0.25">
      <c r="A103" s="170"/>
      <c r="B103" s="170"/>
    </row>
    <row r="104" spans="1:2" x14ac:dyDescent="0.25">
      <c r="A104" s="170"/>
      <c r="B104" s="170"/>
    </row>
    <row r="105" spans="1:2" x14ac:dyDescent="0.25">
      <c r="A105" s="170"/>
      <c r="B105" s="170"/>
    </row>
    <row r="106" spans="1:2" x14ac:dyDescent="0.25">
      <c r="A106" s="170"/>
      <c r="B106" s="170"/>
    </row>
    <row r="107" spans="1:2" x14ac:dyDescent="0.25">
      <c r="A107" s="170"/>
      <c r="B107" s="170"/>
    </row>
    <row r="108" spans="1:2" x14ac:dyDescent="0.25">
      <c r="A108" s="170"/>
      <c r="B108" s="170"/>
    </row>
    <row r="109" spans="1:2" x14ac:dyDescent="0.25">
      <c r="A109" s="170"/>
      <c r="B109" s="170"/>
    </row>
    <row r="110" spans="1:2" x14ac:dyDescent="0.25">
      <c r="A110" s="170"/>
      <c r="B110" s="170"/>
    </row>
    <row r="111" spans="1:2" x14ac:dyDescent="0.25">
      <c r="A111" s="170"/>
      <c r="B111" s="170"/>
    </row>
    <row r="112" spans="1:2" x14ac:dyDescent="0.25">
      <c r="A112" s="170"/>
      <c r="B112" s="170"/>
    </row>
    <row r="113" spans="1:2" x14ac:dyDescent="0.25">
      <c r="A113" s="170"/>
      <c r="B113" s="170"/>
    </row>
    <row r="114" spans="1:2" x14ac:dyDescent="0.25">
      <c r="A114" s="170"/>
      <c r="B114" s="170"/>
    </row>
    <row r="115" spans="1:2" x14ac:dyDescent="0.25">
      <c r="A115" s="170"/>
      <c r="B115" s="170"/>
    </row>
    <row r="116" spans="1:2" x14ac:dyDescent="0.25">
      <c r="A116" s="170"/>
      <c r="B116" s="170"/>
    </row>
    <row r="117" spans="1:2" x14ac:dyDescent="0.25">
      <c r="A117" s="170"/>
      <c r="B117" s="170"/>
    </row>
    <row r="118" spans="1:2" x14ac:dyDescent="0.25">
      <c r="A118" s="170"/>
      <c r="B118" s="170"/>
    </row>
    <row r="119" spans="1:2" x14ac:dyDescent="0.25">
      <c r="A119" s="170"/>
      <c r="B119" s="170"/>
    </row>
    <row r="120" spans="1:2" x14ac:dyDescent="0.25">
      <c r="A120" s="170"/>
      <c r="B120" s="170"/>
    </row>
    <row r="121" spans="1:2" x14ac:dyDescent="0.25">
      <c r="A121" s="170"/>
      <c r="B121" s="170"/>
    </row>
    <row r="122" spans="1:2" x14ac:dyDescent="0.25">
      <c r="A122" s="170"/>
      <c r="B122" s="170"/>
    </row>
    <row r="123" spans="1:2" x14ac:dyDescent="0.25">
      <c r="A123" s="170"/>
      <c r="B123" s="170"/>
    </row>
    <row r="124" spans="1:2" x14ac:dyDescent="0.25">
      <c r="A124" s="170"/>
      <c r="B124" s="170"/>
    </row>
    <row r="125" spans="1:2" x14ac:dyDescent="0.25">
      <c r="A125" s="170"/>
      <c r="B125" s="170"/>
    </row>
    <row r="126" spans="1:2" x14ac:dyDescent="0.25">
      <c r="A126" s="170"/>
      <c r="B126" s="170"/>
    </row>
    <row r="127" spans="1:2" x14ac:dyDescent="0.25">
      <c r="A127" s="170"/>
      <c r="B127" s="170"/>
    </row>
    <row r="128" spans="1:2" x14ac:dyDescent="0.25">
      <c r="A128" s="170"/>
      <c r="B128" s="170"/>
    </row>
    <row r="129" spans="1:2" x14ac:dyDescent="0.25">
      <c r="A129" s="170"/>
      <c r="B129" s="170"/>
    </row>
    <row r="130" spans="1:2" x14ac:dyDescent="0.25">
      <c r="A130" s="170"/>
      <c r="B130" s="170"/>
    </row>
    <row r="131" spans="1:2" x14ac:dyDescent="0.25">
      <c r="A131" s="170"/>
      <c r="B131" s="170"/>
    </row>
    <row r="132" spans="1:2" x14ac:dyDescent="0.25">
      <c r="A132" s="170"/>
      <c r="B132" s="170"/>
    </row>
    <row r="133" spans="1:2" x14ac:dyDescent="0.25">
      <c r="A133" s="170"/>
      <c r="B133" s="170"/>
    </row>
    <row r="134" spans="1:2" x14ac:dyDescent="0.25">
      <c r="A134" s="170"/>
      <c r="B134" s="170"/>
    </row>
    <row r="135" spans="1:2" x14ac:dyDescent="0.25">
      <c r="A135" s="170"/>
      <c r="B135" s="170"/>
    </row>
    <row r="136" spans="1:2" x14ac:dyDescent="0.25">
      <c r="A136" s="170"/>
      <c r="B136" s="170"/>
    </row>
    <row r="137" spans="1:2" x14ac:dyDescent="0.25">
      <c r="A137" s="170"/>
      <c r="B137" s="170"/>
    </row>
    <row r="138" spans="1:2" x14ac:dyDescent="0.25">
      <c r="A138" s="170"/>
      <c r="B138" s="170"/>
    </row>
    <row r="139" spans="1:2" x14ac:dyDescent="0.25">
      <c r="A139" s="170"/>
      <c r="B139" s="170"/>
    </row>
    <row r="140" spans="1:2" x14ac:dyDescent="0.25">
      <c r="A140" s="170"/>
      <c r="B140" s="170"/>
    </row>
    <row r="141" spans="1:2" x14ac:dyDescent="0.25">
      <c r="A141" s="170"/>
      <c r="B141" s="170"/>
    </row>
    <row r="142" spans="1:2" x14ac:dyDescent="0.25">
      <c r="A142" s="170"/>
      <c r="B142" s="170"/>
    </row>
    <row r="143" spans="1:2" x14ac:dyDescent="0.25">
      <c r="A143" s="170"/>
      <c r="B143" s="170"/>
    </row>
    <row r="144" spans="1:2" x14ac:dyDescent="0.25">
      <c r="A144" s="170"/>
      <c r="B144" s="170"/>
    </row>
    <row r="145" spans="1:2" x14ac:dyDescent="0.25">
      <c r="A145" s="170"/>
      <c r="B145" s="170"/>
    </row>
    <row r="146" spans="1:2" x14ac:dyDescent="0.25">
      <c r="A146" s="170"/>
      <c r="B146" s="170"/>
    </row>
    <row r="147" spans="1:2" x14ac:dyDescent="0.25">
      <c r="A147" s="170"/>
      <c r="B147" s="170"/>
    </row>
    <row r="148" spans="1:2" x14ac:dyDescent="0.25">
      <c r="A148" s="170"/>
      <c r="B148" s="170"/>
    </row>
    <row r="149" spans="1:2" x14ac:dyDescent="0.25">
      <c r="A149" s="170"/>
      <c r="B149" s="170"/>
    </row>
    <row r="150" spans="1:2" x14ac:dyDescent="0.25">
      <c r="A150" s="170"/>
      <c r="B150" s="170"/>
    </row>
    <row r="151" spans="1:2" x14ac:dyDescent="0.25">
      <c r="A151" s="170"/>
      <c r="B151" s="170"/>
    </row>
    <row r="152" spans="1:2" x14ac:dyDescent="0.25">
      <c r="A152" s="170"/>
      <c r="B152" s="170"/>
    </row>
    <row r="153" spans="1:2" x14ac:dyDescent="0.25">
      <c r="A153" s="170"/>
      <c r="B153" s="170"/>
    </row>
    <row r="154" spans="1:2" x14ac:dyDescent="0.25">
      <c r="A154" s="170"/>
      <c r="B154" s="170"/>
    </row>
    <row r="155" spans="1:2" x14ac:dyDescent="0.25">
      <c r="A155" s="170"/>
      <c r="B155" s="170"/>
    </row>
    <row r="156" spans="1:2" x14ac:dyDescent="0.25">
      <c r="A156" s="170"/>
      <c r="B156" s="170"/>
    </row>
    <row r="157" spans="1:2" x14ac:dyDescent="0.25">
      <c r="A157" s="170"/>
      <c r="B157" s="170"/>
    </row>
    <row r="158" spans="1:2" x14ac:dyDescent="0.25">
      <c r="A158" s="170"/>
      <c r="B158" s="170"/>
    </row>
    <row r="159" spans="1:2" x14ac:dyDescent="0.25">
      <c r="A159" s="170"/>
      <c r="B159" s="170"/>
    </row>
    <row r="160" spans="1:2" x14ac:dyDescent="0.25">
      <c r="A160" s="170"/>
      <c r="B160" s="170"/>
    </row>
    <row r="161" spans="1:2" x14ac:dyDescent="0.25">
      <c r="A161" s="170"/>
      <c r="B161" s="170"/>
    </row>
    <row r="162" spans="1:2" x14ac:dyDescent="0.25">
      <c r="A162" s="170"/>
      <c r="B162" s="170"/>
    </row>
    <row r="163" spans="1:2" x14ac:dyDescent="0.25">
      <c r="A163" s="170"/>
      <c r="B163" s="170"/>
    </row>
    <row r="164" spans="1:2" x14ac:dyDescent="0.25">
      <c r="A164" s="170"/>
      <c r="B164" s="170"/>
    </row>
    <row r="165" spans="1:2" x14ac:dyDescent="0.25">
      <c r="A165" s="170"/>
      <c r="B165" s="170"/>
    </row>
    <row r="166" spans="1:2" x14ac:dyDescent="0.25">
      <c r="A166" s="170"/>
      <c r="B166" s="170"/>
    </row>
    <row r="167" spans="1:2" x14ac:dyDescent="0.25">
      <c r="A167" s="170"/>
      <c r="B167" s="170"/>
    </row>
    <row r="168" spans="1:2" x14ac:dyDescent="0.25">
      <c r="A168" s="170"/>
      <c r="B168" s="170"/>
    </row>
    <row r="169" spans="1:2" x14ac:dyDescent="0.25">
      <c r="A169" s="170"/>
      <c r="B169" s="170"/>
    </row>
    <row r="170" spans="1:2" x14ac:dyDescent="0.25">
      <c r="A170" s="170"/>
      <c r="B170" s="170"/>
    </row>
    <row r="171" spans="1:2" x14ac:dyDescent="0.25">
      <c r="A171" s="170"/>
      <c r="B171" s="170"/>
    </row>
    <row r="172" spans="1:2" x14ac:dyDescent="0.25">
      <c r="A172" s="170"/>
      <c r="B172" s="170"/>
    </row>
    <row r="173" spans="1:2" x14ac:dyDescent="0.25">
      <c r="A173" s="170"/>
      <c r="B173" s="170"/>
    </row>
    <row r="174" spans="1:2" x14ac:dyDescent="0.25">
      <c r="A174" s="170"/>
      <c r="B174" s="170"/>
    </row>
    <row r="175" spans="1:2" x14ac:dyDescent="0.25">
      <c r="A175" s="170"/>
      <c r="B175" s="170"/>
    </row>
    <row r="176" spans="1:2" x14ac:dyDescent="0.25">
      <c r="A176" s="170"/>
      <c r="B176" s="170"/>
    </row>
    <row r="177" spans="1:2" x14ac:dyDescent="0.25">
      <c r="A177" s="170"/>
      <c r="B177" s="170"/>
    </row>
    <row r="178" spans="1:2" x14ac:dyDescent="0.25">
      <c r="A178" s="170"/>
      <c r="B178" s="170"/>
    </row>
    <row r="179" spans="1:2" x14ac:dyDescent="0.25">
      <c r="A179" s="170"/>
      <c r="B179" s="170"/>
    </row>
    <row r="180" spans="1:2" x14ac:dyDescent="0.25">
      <c r="A180" s="170"/>
      <c r="B180" s="170"/>
    </row>
    <row r="181" spans="1:2" x14ac:dyDescent="0.25">
      <c r="A181" s="170"/>
      <c r="B181" s="170"/>
    </row>
    <row r="182" spans="1:2" x14ac:dyDescent="0.25">
      <c r="A182" s="170"/>
      <c r="B182" s="170"/>
    </row>
    <row r="183" spans="1:2" x14ac:dyDescent="0.25">
      <c r="A183" s="170"/>
      <c r="B183" s="170"/>
    </row>
    <row r="184" spans="1:2" x14ac:dyDescent="0.25">
      <c r="A184" s="170"/>
      <c r="B184" s="170"/>
    </row>
    <row r="185" spans="1:2" x14ac:dyDescent="0.25">
      <c r="A185" s="170"/>
      <c r="B185" s="170"/>
    </row>
    <row r="186" spans="1:2" x14ac:dyDescent="0.25">
      <c r="A186" s="170"/>
      <c r="B186" s="170"/>
    </row>
    <row r="187" spans="1:2" x14ac:dyDescent="0.25">
      <c r="A187" s="170"/>
      <c r="B187" s="170"/>
    </row>
    <row r="188" spans="1:2" x14ac:dyDescent="0.25">
      <c r="A188" s="170"/>
      <c r="B188" s="170"/>
    </row>
    <row r="189" spans="1:2" x14ac:dyDescent="0.25">
      <c r="A189" s="170"/>
      <c r="B189" s="170"/>
    </row>
    <row r="190" spans="1:2" x14ac:dyDescent="0.25">
      <c r="A190" s="170"/>
      <c r="B190" s="170"/>
    </row>
    <row r="191" spans="1:2" x14ac:dyDescent="0.25">
      <c r="A191" s="170"/>
      <c r="B191" s="170"/>
    </row>
    <row r="192" spans="1:2" x14ac:dyDescent="0.25">
      <c r="A192" s="170"/>
      <c r="B192" s="170"/>
    </row>
    <row r="193" spans="1:2" x14ac:dyDescent="0.25">
      <c r="A193" s="170"/>
      <c r="B193" s="170"/>
    </row>
    <row r="194" spans="1:2" x14ac:dyDescent="0.25">
      <c r="A194" s="170"/>
      <c r="B194" s="170"/>
    </row>
    <row r="195" spans="1:2" x14ac:dyDescent="0.25">
      <c r="A195" s="170"/>
      <c r="B195" s="170"/>
    </row>
    <row r="196" spans="1:2" x14ac:dyDescent="0.25">
      <c r="A196" s="170"/>
      <c r="B196" s="170"/>
    </row>
    <row r="197" spans="1:2" x14ac:dyDescent="0.25">
      <c r="A197" s="170"/>
      <c r="B197" s="170"/>
    </row>
    <row r="198" spans="1:2" x14ac:dyDescent="0.25">
      <c r="A198" s="170"/>
      <c r="B198" s="170"/>
    </row>
    <row r="199" spans="1:2" x14ac:dyDescent="0.25">
      <c r="A199" s="170"/>
      <c r="B199" s="170"/>
    </row>
    <row r="200" spans="1:2" x14ac:dyDescent="0.25">
      <c r="A200" s="170"/>
      <c r="B200" s="170"/>
    </row>
    <row r="201" spans="1:2" x14ac:dyDescent="0.25">
      <c r="A201" s="170"/>
      <c r="B201" s="170"/>
    </row>
    <row r="202" spans="1:2" x14ac:dyDescent="0.25">
      <c r="A202" s="170"/>
      <c r="B202" s="170"/>
    </row>
    <row r="203" spans="1:2" x14ac:dyDescent="0.25">
      <c r="A203" s="170"/>
      <c r="B203" s="170"/>
    </row>
    <row r="204" spans="1:2" x14ac:dyDescent="0.25">
      <c r="A204" s="170"/>
      <c r="B204" s="170"/>
    </row>
    <row r="205" spans="1:2" x14ac:dyDescent="0.25">
      <c r="A205" s="170"/>
      <c r="B205" s="170"/>
    </row>
    <row r="206" spans="1:2" x14ac:dyDescent="0.25">
      <c r="A206" s="170"/>
      <c r="B206" s="170"/>
    </row>
    <row r="207" spans="1:2" x14ac:dyDescent="0.25">
      <c r="A207" s="170"/>
      <c r="B207" s="170"/>
    </row>
    <row r="208" spans="1:2" x14ac:dyDescent="0.25">
      <c r="A208" s="170"/>
      <c r="B208" s="170"/>
    </row>
    <row r="209" spans="1:2" x14ac:dyDescent="0.25">
      <c r="A209" s="170"/>
      <c r="B209" s="170"/>
    </row>
    <row r="210" spans="1:2" x14ac:dyDescent="0.25">
      <c r="A210" s="170"/>
      <c r="B210" s="170"/>
    </row>
    <row r="211" spans="1:2" x14ac:dyDescent="0.25">
      <c r="A211" s="170"/>
      <c r="B211" s="170"/>
    </row>
    <row r="212" spans="1:2" x14ac:dyDescent="0.25">
      <c r="A212" s="170"/>
      <c r="B212" s="170"/>
    </row>
    <row r="213" spans="1:2" x14ac:dyDescent="0.25">
      <c r="A213" s="170"/>
      <c r="B213" s="170"/>
    </row>
    <row r="214" spans="1:2" x14ac:dyDescent="0.25">
      <c r="A214" s="170"/>
      <c r="B214" s="170"/>
    </row>
    <row r="215" spans="1:2" x14ac:dyDescent="0.25">
      <c r="A215" s="170"/>
      <c r="B215" s="170"/>
    </row>
    <row r="216" spans="1:2" x14ac:dyDescent="0.25">
      <c r="A216" s="170"/>
      <c r="B216" s="170"/>
    </row>
    <row r="217" spans="1:2" x14ac:dyDescent="0.25">
      <c r="A217" s="170"/>
      <c r="B217" s="170"/>
    </row>
    <row r="218" spans="1:2" x14ac:dyDescent="0.25">
      <c r="A218" s="170"/>
      <c r="B218" s="170"/>
    </row>
    <row r="219" spans="1:2" x14ac:dyDescent="0.25">
      <c r="A219" s="170"/>
      <c r="B219" s="170"/>
    </row>
    <row r="220" spans="1:2" x14ac:dyDescent="0.25">
      <c r="A220" s="170"/>
      <c r="B220" s="170"/>
    </row>
    <row r="221" spans="1:2" x14ac:dyDescent="0.25">
      <c r="A221" s="170"/>
      <c r="B221" s="170"/>
    </row>
    <row r="222" spans="1:2" x14ac:dyDescent="0.25">
      <c r="A222" s="170"/>
      <c r="B222" s="170"/>
    </row>
    <row r="223" spans="1:2" x14ac:dyDescent="0.25">
      <c r="A223" s="170"/>
      <c r="B223" s="170"/>
    </row>
    <row r="224" spans="1:2" x14ac:dyDescent="0.25">
      <c r="A224" s="170"/>
      <c r="B224" s="170"/>
    </row>
    <row r="225" spans="1:2" x14ac:dyDescent="0.25">
      <c r="A225" s="170"/>
      <c r="B225" s="170"/>
    </row>
    <row r="226" spans="1:2" x14ac:dyDescent="0.25">
      <c r="A226" s="170"/>
      <c r="B226" s="170"/>
    </row>
    <row r="227" spans="1:2" x14ac:dyDescent="0.25">
      <c r="A227" s="170"/>
      <c r="B227" s="170"/>
    </row>
    <row r="228" spans="1:2" x14ac:dyDescent="0.25">
      <c r="A228" s="170"/>
      <c r="B228" s="170"/>
    </row>
    <row r="229" spans="1:2" x14ac:dyDescent="0.25">
      <c r="A229" s="170"/>
      <c r="B229" s="170"/>
    </row>
    <row r="230" spans="1:2" x14ac:dyDescent="0.25">
      <c r="A230" s="170"/>
      <c r="B230" s="170"/>
    </row>
    <row r="231" spans="1:2" x14ac:dyDescent="0.25">
      <c r="A231" s="170"/>
      <c r="B231" s="170"/>
    </row>
    <row r="232" spans="1:2" x14ac:dyDescent="0.25">
      <c r="A232" s="170"/>
      <c r="B232" s="170"/>
    </row>
    <row r="233" spans="1:2" x14ac:dyDescent="0.25">
      <c r="A233" s="170"/>
      <c r="B233" s="170"/>
    </row>
    <row r="234" spans="1:2" x14ac:dyDescent="0.25">
      <c r="A234" s="170"/>
      <c r="B234" s="170"/>
    </row>
    <row r="235" spans="1:2" x14ac:dyDescent="0.25">
      <c r="A235" s="170"/>
      <c r="B235" s="170"/>
    </row>
    <row r="236" spans="1:2" x14ac:dyDescent="0.25">
      <c r="A236" s="170"/>
      <c r="B236" s="170"/>
    </row>
    <row r="237" spans="1:2" x14ac:dyDescent="0.25">
      <c r="A237" s="170"/>
      <c r="B237" s="170"/>
    </row>
    <row r="238" spans="1:2" x14ac:dyDescent="0.25">
      <c r="A238" s="170"/>
      <c r="B238" s="170"/>
    </row>
    <row r="239" spans="1:2" x14ac:dyDescent="0.25">
      <c r="A239" s="170"/>
      <c r="B239" s="170"/>
    </row>
    <row r="240" spans="1:2" x14ac:dyDescent="0.25">
      <c r="A240" s="170"/>
      <c r="B240" s="170"/>
    </row>
    <row r="241" spans="1:2" x14ac:dyDescent="0.25">
      <c r="A241" s="170"/>
      <c r="B241" s="170"/>
    </row>
    <row r="242" spans="1:2" x14ac:dyDescent="0.25">
      <c r="A242" s="170"/>
      <c r="B242" s="170"/>
    </row>
    <row r="243" spans="1:2" x14ac:dyDescent="0.25">
      <c r="A243" s="170"/>
      <c r="B243" s="170"/>
    </row>
    <row r="244" spans="1:2" x14ac:dyDescent="0.25">
      <c r="A244" s="170"/>
      <c r="B244" s="170"/>
    </row>
    <row r="245" spans="1:2" x14ac:dyDescent="0.25">
      <c r="A245" s="170"/>
      <c r="B245" s="170"/>
    </row>
    <row r="246" spans="1:2" x14ac:dyDescent="0.25">
      <c r="A246" s="170"/>
      <c r="B246" s="170"/>
    </row>
    <row r="247" spans="1:2" x14ac:dyDescent="0.25">
      <c r="A247" s="170"/>
      <c r="B247" s="170"/>
    </row>
    <row r="248" spans="1:2" x14ac:dyDescent="0.25">
      <c r="A248" s="170"/>
      <c r="B248" s="170"/>
    </row>
    <row r="249" spans="1:2" x14ac:dyDescent="0.25">
      <c r="A249" s="170"/>
      <c r="B249" s="170"/>
    </row>
    <row r="250" spans="1:2" x14ac:dyDescent="0.25">
      <c r="A250" s="170"/>
      <c r="B250" s="170"/>
    </row>
    <row r="251" spans="1:2" x14ac:dyDescent="0.25">
      <c r="A251" s="170"/>
      <c r="B251" s="170"/>
    </row>
    <row r="252" spans="1:2" x14ac:dyDescent="0.25">
      <c r="A252" s="170"/>
      <c r="B252" s="170"/>
    </row>
    <row r="253" spans="1:2" x14ac:dyDescent="0.25">
      <c r="A253" s="170"/>
      <c r="B253" s="170"/>
    </row>
    <row r="254" spans="1:2" x14ac:dyDescent="0.25">
      <c r="A254" s="170"/>
      <c r="B254" s="170"/>
    </row>
    <row r="255" spans="1:2" x14ac:dyDescent="0.25">
      <c r="A255" s="170"/>
      <c r="B255" s="170"/>
    </row>
    <row r="256" spans="1:2" x14ac:dyDescent="0.25">
      <c r="A256" s="170"/>
      <c r="B256" s="170"/>
    </row>
    <row r="257" spans="1:2" x14ac:dyDescent="0.25">
      <c r="A257" s="170"/>
      <c r="B257" s="170"/>
    </row>
    <row r="258" spans="1:2" x14ac:dyDescent="0.25">
      <c r="A258" s="170"/>
      <c r="B258" s="170"/>
    </row>
    <row r="259" spans="1:2" x14ac:dyDescent="0.25">
      <c r="A259" s="170"/>
      <c r="B259" s="170"/>
    </row>
    <row r="260" spans="1:2" x14ac:dyDescent="0.25">
      <c r="A260" s="170"/>
      <c r="B260" s="170"/>
    </row>
    <row r="261" spans="1:2" x14ac:dyDescent="0.25">
      <c r="A261" s="170"/>
      <c r="B261" s="170"/>
    </row>
    <row r="262" spans="1:2" x14ac:dyDescent="0.25">
      <c r="A262" s="170"/>
      <c r="B262" s="170"/>
    </row>
    <row r="263" spans="1:2" x14ac:dyDescent="0.25">
      <c r="A263" s="170"/>
      <c r="B263" s="170"/>
    </row>
    <row r="264" spans="1:2" x14ac:dyDescent="0.25">
      <c r="A264" s="170"/>
      <c r="B264" s="170"/>
    </row>
    <row r="265" spans="1:2" x14ac:dyDescent="0.25">
      <c r="A265" s="170"/>
      <c r="B265" s="170"/>
    </row>
    <row r="266" spans="1:2" x14ac:dyDescent="0.25">
      <c r="A266" s="170"/>
      <c r="B266" s="170"/>
    </row>
    <row r="267" spans="1:2" x14ac:dyDescent="0.25">
      <c r="A267" s="170"/>
      <c r="B267" s="170"/>
    </row>
    <row r="268" spans="1:2" x14ac:dyDescent="0.25">
      <c r="A268" s="170"/>
      <c r="B268" s="170"/>
    </row>
    <row r="269" spans="1:2" x14ac:dyDescent="0.25">
      <c r="A269" s="170"/>
      <c r="B269" s="170"/>
    </row>
    <row r="270" spans="1:2" x14ac:dyDescent="0.25">
      <c r="A270" s="170"/>
      <c r="B270" s="170"/>
    </row>
    <row r="271" spans="1:2" x14ac:dyDescent="0.25">
      <c r="A271" s="170"/>
      <c r="B271" s="170"/>
    </row>
    <row r="272" spans="1:2" x14ac:dyDescent="0.25">
      <c r="A272" s="170"/>
      <c r="B272" s="170"/>
    </row>
    <row r="273" spans="1:2" x14ac:dyDescent="0.25">
      <c r="A273" s="170"/>
      <c r="B273" s="170"/>
    </row>
    <row r="274" spans="1:2" x14ac:dyDescent="0.25">
      <c r="A274" s="170"/>
      <c r="B274" s="170"/>
    </row>
    <row r="275" spans="1:2" x14ac:dyDescent="0.25">
      <c r="A275" s="170"/>
      <c r="B275" s="170"/>
    </row>
    <row r="276" spans="1:2" x14ac:dyDescent="0.25">
      <c r="A276" s="170"/>
      <c r="B276" s="170"/>
    </row>
    <row r="277" spans="1:2" x14ac:dyDescent="0.25">
      <c r="A277" s="170"/>
      <c r="B277" s="170"/>
    </row>
    <row r="278" spans="1:2" x14ac:dyDescent="0.25">
      <c r="A278" s="170"/>
      <c r="B278" s="170"/>
    </row>
    <row r="279" spans="1:2" x14ac:dyDescent="0.25">
      <c r="A279" s="170"/>
      <c r="B279" s="170"/>
    </row>
    <row r="280" spans="1:2" x14ac:dyDescent="0.25">
      <c r="A280" s="170"/>
      <c r="B280" s="170"/>
    </row>
    <row r="281" spans="1:2" x14ac:dyDescent="0.25">
      <c r="A281" s="170"/>
      <c r="B281" s="170"/>
    </row>
    <row r="282" spans="1:2" x14ac:dyDescent="0.25">
      <c r="A282" s="170"/>
      <c r="B282" s="170"/>
    </row>
    <row r="283" spans="1:2" x14ac:dyDescent="0.25">
      <c r="A283" s="170"/>
      <c r="B283" s="170"/>
    </row>
    <row r="284" spans="1:2" x14ac:dyDescent="0.25">
      <c r="A284" s="170"/>
      <c r="B284" s="170"/>
    </row>
    <row r="285" spans="1:2" x14ac:dyDescent="0.25">
      <c r="A285" s="170"/>
      <c r="B285" s="170"/>
    </row>
    <row r="286" spans="1:2" x14ac:dyDescent="0.25">
      <c r="A286" s="170"/>
      <c r="B286" s="170"/>
    </row>
    <row r="287" spans="1:2" x14ac:dyDescent="0.25">
      <c r="A287" s="170"/>
      <c r="B287" s="170"/>
    </row>
    <row r="288" spans="1:2" x14ac:dyDescent="0.25">
      <c r="A288" s="170"/>
      <c r="B288" s="170"/>
    </row>
    <row r="289" spans="1:2" x14ac:dyDescent="0.25">
      <c r="A289" s="170"/>
      <c r="B289" s="170"/>
    </row>
    <row r="290" spans="1:2" x14ac:dyDescent="0.25">
      <c r="A290" s="170"/>
      <c r="B290" s="170"/>
    </row>
    <row r="291" spans="1:2" x14ac:dyDescent="0.25">
      <c r="A291" s="170"/>
      <c r="B291" s="170"/>
    </row>
    <row r="292" spans="1:2" x14ac:dyDescent="0.25">
      <c r="A292" s="170"/>
      <c r="B292" s="170"/>
    </row>
    <row r="293" spans="1:2" x14ac:dyDescent="0.25">
      <c r="A293" s="170"/>
      <c r="B293" s="170"/>
    </row>
    <row r="294" spans="1:2" x14ac:dyDescent="0.25">
      <c r="A294" s="170"/>
      <c r="B294" s="170"/>
    </row>
    <row r="295" spans="1:2" x14ac:dyDescent="0.25">
      <c r="A295" s="170"/>
      <c r="B295" s="170"/>
    </row>
    <row r="296" spans="1:2" x14ac:dyDescent="0.25">
      <c r="A296" s="170"/>
      <c r="B296" s="170"/>
    </row>
    <row r="297" spans="1:2" x14ac:dyDescent="0.25">
      <c r="A297" s="170"/>
      <c r="B297" s="170"/>
    </row>
    <row r="298" spans="1:2" x14ac:dyDescent="0.25">
      <c r="A298" s="170"/>
      <c r="B298" s="170"/>
    </row>
    <row r="299" spans="1:2" x14ac:dyDescent="0.25">
      <c r="A299" s="170"/>
      <c r="B299" s="170"/>
    </row>
    <row r="300" spans="1:2" x14ac:dyDescent="0.25">
      <c r="A300" s="170"/>
      <c r="B300" s="170"/>
    </row>
    <row r="301" spans="1:2" x14ac:dyDescent="0.25">
      <c r="A301" s="170"/>
      <c r="B301" s="170"/>
    </row>
    <row r="302" spans="1:2" x14ac:dyDescent="0.25">
      <c r="A302" s="170"/>
      <c r="B302" s="170"/>
    </row>
    <row r="303" spans="1:2" x14ac:dyDescent="0.25">
      <c r="A303" s="170"/>
      <c r="B303" s="170"/>
    </row>
    <row r="304" spans="1:2" x14ac:dyDescent="0.25">
      <c r="A304" s="170"/>
      <c r="B304" s="170"/>
    </row>
    <row r="305" spans="1:2" x14ac:dyDescent="0.25">
      <c r="A305" s="170"/>
      <c r="B305" s="170"/>
    </row>
    <row r="306" spans="1:2" x14ac:dyDescent="0.25">
      <c r="A306" s="170"/>
      <c r="B306" s="170"/>
    </row>
    <row r="307" spans="1:2" x14ac:dyDescent="0.25">
      <c r="A307" s="170"/>
      <c r="B307" s="170"/>
    </row>
    <row r="308" spans="1:2" x14ac:dyDescent="0.25">
      <c r="A308" s="170"/>
      <c r="B308" s="170"/>
    </row>
    <row r="309" spans="1:2" x14ac:dyDescent="0.25">
      <c r="A309" s="170"/>
      <c r="B309" s="170"/>
    </row>
    <row r="310" spans="1:2" x14ac:dyDescent="0.25">
      <c r="A310" s="170"/>
      <c r="B310" s="170"/>
    </row>
    <row r="311" spans="1:2" x14ac:dyDescent="0.25">
      <c r="A311" s="170"/>
      <c r="B311" s="170"/>
    </row>
    <row r="312" spans="1:2" x14ac:dyDescent="0.25">
      <c r="A312" s="170"/>
      <c r="B312" s="170"/>
    </row>
    <row r="313" spans="1:2" x14ac:dyDescent="0.25">
      <c r="A313" s="170"/>
      <c r="B313" s="170"/>
    </row>
    <row r="314" spans="1:2" x14ac:dyDescent="0.25">
      <c r="A314" s="170"/>
      <c r="B314" s="170"/>
    </row>
    <row r="315" spans="1:2" x14ac:dyDescent="0.25">
      <c r="A315" s="170"/>
      <c r="B315" s="170"/>
    </row>
    <row r="316" spans="1:2" x14ac:dyDescent="0.25">
      <c r="A316" s="170"/>
      <c r="B316" s="170"/>
    </row>
    <row r="317" spans="1:2" x14ac:dyDescent="0.25">
      <c r="A317" s="170"/>
      <c r="B317" s="170"/>
    </row>
    <row r="318" spans="1:2" x14ac:dyDescent="0.25">
      <c r="A318" s="170"/>
      <c r="B318" s="170"/>
    </row>
    <row r="319" spans="1:2" x14ac:dyDescent="0.25">
      <c r="A319" s="170"/>
      <c r="B319" s="170"/>
    </row>
    <row r="320" spans="1:2" x14ac:dyDescent="0.25">
      <c r="A320" s="170"/>
      <c r="B320" s="170"/>
    </row>
    <row r="321" spans="1:2" x14ac:dyDescent="0.25">
      <c r="A321" s="170"/>
      <c r="B321" s="170"/>
    </row>
    <row r="322" spans="1:2" x14ac:dyDescent="0.25">
      <c r="A322" s="170"/>
      <c r="B322" s="170"/>
    </row>
    <row r="323" spans="1:2" x14ac:dyDescent="0.25">
      <c r="A323" s="170"/>
      <c r="B323" s="170"/>
    </row>
    <row r="324" spans="1:2" x14ac:dyDescent="0.25">
      <c r="A324" s="170"/>
      <c r="B324" s="170"/>
    </row>
    <row r="325" spans="1:2" x14ac:dyDescent="0.25">
      <c r="A325" s="170"/>
      <c r="B325" s="170"/>
    </row>
    <row r="326" spans="1:2" x14ac:dyDescent="0.25">
      <c r="A326" s="170"/>
      <c r="B326" s="170"/>
    </row>
    <row r="327" spans="1:2" x14ac:dyDescent="0.25">
      <c r="A327" s="170"/>
      <c r="B327" s="170"/>
    </row>
    <row r="328" spans="1:2" x14ac:dyDescent="0.25">
      <c r="A328" s="170"/>
      <c r="B328" s="170"/>
    </row>
    <row r="329" spans="1:2" x14ac:dyDescent="0.25">
      <c r="A329" s="170"/>
      <c r="B329" s="170"/>
    </row>
    <row r="330" spans="1:2" x14ac:dyDescent="0.25">
      <c r="A330" s="170"/>
      <c r="B330" s="170"/>
    </row>
    <row r="331" spans="1:2" x14ac:dyDescent="0.25">
      <c r="A331" s="170"/>
      <c r="B331" s="170"/>
    </row>
    <row r="332" spans="1:2" x14ac:dyDescent="0.25">
      <c r="A332" s="170"/>
      <c r="B332" s="170"/>
    </row>
    <row r="333" spans="1:2" x14ac:dyDescent="0.25">
      <c r="A333" s="170"/>
      <c r="B333" s="170"/>
    </row>
    <row r="334" spans="1:2" x14ac:dyDescent="0.25">
      <c r="A334" s="170"/>
      <c r="B334" s="170"/>
    </row>
    <row r="335" spans="1:2" x14ac:dyDescent="0.25">
      <c r="A335" s="170"/>
      <c r="B335" s="170"/>
    </row>
    <row r="336" spans="1:2" x14ac:dyDescent="0.25">
      <c r="A336" s="170"/>
      <c r="B336" s="170"/>
    </row>
    <row r="337" spans="1:2" x14ac:dyDescent="0.25">
      <c r="A337" s="170"/>
      <c r="B337" s="170"/>
    </row>
    <row r="338" spans="1:2" x14ac:dyDescent="0.25">
      <c r="A338" s="170"/>
      <c r="B338" s="170"/>
    </row>
    <row r="339" spans="1:2" x14ac:dyDescent="0.25">
      <c r="A339" s="170"/>
      <c r="B339" s="170"/>
    </row>
    <row r="340" spans="1:2" x14ac:dyDescent="0.25">
      <c r="A340" s="170"/>
      <c r="B340" s="170"/>
    </row>
    <row r="341" spans="1:2" x14ac:dyDescent="0.25">
      <c r="A341" s="170"/>
      <c r="B341" s="170"/>
    </row>
    <row r="342" spans="1:2" x14ac:dyDescent="0.25">
      <c r="A342" s="170"/>
      <c r="B342" s="170"/>
    </row>
    <row r="343" spans="1:2" x14ac:dyDescent="0.25">
      <c r="A343" s="170"/>
      <c r="B343" s="170"/>
    </row>
    <row r="344" spans="1:2" x14ac:dyDescent="0.25">
      <c r="A344" s="170"/>
      <c r="B344" s="170"/>
    </row>
    <row r="345" spans="1:2" x14ac:dyDescent="0.25">
      <c r="A345" s="170"/>
      <c r="B345" s="170"/>
    </row>
    <row r="346" spans="1:2" x14ac:dyDescent="0.25">
      <c r="A346" s="170"/>
      <c r="B346" s="170"/>
    </row>
    <row r="347" spans="1:2" x14ac:dyDescent="0.25">
      <c r="A347" s="170"/>
      <c r="B347" s="170"/>
    </row>
    <row r="348" spans="1:2" x14ac:dyDescent="0.25">
      <c r="A348" s="170"/>
      <c r="B348" s="170"/>
    </row>
    <row r="349" spans="1:2" x14ac:dyDescent="0.25">
      <c r="A349" s="170"/>
      <c r="B349" s="170"/>
    </row>
    <row r="350" spans="1:2" x14ac:dyDescent="0.25">
      <c r="A350" s="170"/>
      <c r="B350" s="170"/>
    </row>
    <row r="351" spans="1:2" x14ac:dyDescent="0.25">
      <c r="A351" s="170"/>
      <c r="B351" s="170"/>
    </row>
    <row r="352" spans="1:2" x14ac:dyDescent="0.25">
      <c r="A352" s="170"/>
      <c r="B352" s="170"/>
    </row>
    <row r="353" spans="1:2" x14ac:dyDescent="0.25">
      <c r="A353" s="170"/>
      <c r="B353" s="170"/>
    </row>
    <row r="354" spans="1:2" x14ac:dyDescent="0.25">
      <c r="A354" s="170"/>
      <c r="B354" s="170"/>
    </row>
    <row r="355" spans="1:2" x14ac:dyDescent="0.25">
      <c r="A355" s="170"/>
      <c r="B355" s="170"/>
    </row>
    <row r="356" spans="1:2" x14ac:dyDescent="0.25">
      <c r="A356" s="170"/>
      <c r="B356" s="170"/>
    </row>
    <row r="357" spans="1:2" x14ac:dyDescent="0.25">
      <c r="A357" s="170"/>
      <c r="B357" s="170"/>
    </row>
    <row r="358" spans="1:2" x14ac:dyDescent="0.25">
      <c r="A358" s="170"/>
      <c r="B358" s="170"/>
    </row>
    <row r="359" spans="1:2" x14ac:dyDescent="0.25">
      <c r="A359" s="170"/>
      <c r="B359" s="170"/>
    </row>
    <row r="360" spans="1:2" x14ac:dyDescent="0.25">
      <c r="A360" s="170"/>
      <c r="B360" s="170"/>
    </row>
    <row r="361" spans="1:2" x14ac:dyDescent="0.25">
      <c r="A361" s="170"/>
      <c r="B361" s="170"/>
    </row>
    <row r="362" spans="1:2" x14ac:dyDescent="0.25">
      <c r="A362" s="170"/>
      <c r="B362" s="170"/>
    </row>
    <row r="363" spans="1:2" x14ac:dyDescent="0.25">
      <c r="A363" s="170"/>
      <c r="B363" s="170"/>
    </row>
    <row r="364" spans="1:2" x14ac:dyDescent="0.25">
      <c r="A364" s="170"/>
      <c r="B364" s="170"/>
    </row>
    <row r="365" spans="1:2" x14ac:dyDescent="0.25">
      <c r="A365" s="170"/>
      <c r="B365" s="170"/>
    </row>
    <row r="366" spans="1:2" x14ac:dyDescent="0.25">
      <c r="A366" s="170"/>
      <c r="B366" s="170"/>
    </row>
    <row r="367" spans="1:2" x14ac:dyDescent="0.25">
      <c r="A367" s="170"/>
      <c r="B367" s="170"/>
    </row>
    <row r="368" spans="1:2" x14ac:dyDescent="0.25">
      <c r="A368" s="170"/>
      <c r="B368" s="170"/>
    </row>
    <row r="369" spans="1:2" x14ac:dyDescent="0.25">
      <c r="A369" s="170"/>
      <c r="B369" s="170"/>
    </row>
    <row r="370" spans="1:2" x14ac:dyDescent="0.25">
      <c r="A370" s="170"/>
      <c r="B370" s="170"/>
    </row>
    <row r="371" spans="1:2" x14ac:dyDescent="0.25">
      <c r="A371" s="170"/>
      <c r="B371" s="170"/>
    </row>
    <row r="372" spans="1:2" x14ac:dyDescent="0.25">
      <c r="A372" s="170"/>
      <c r="B372" s="170"/>
    </row>
    <row r="373" spans="1:2" x14ac:dyDescent="0.25">
      <c r="A373" s="170"/>
      <c r="B373" s="170"/>
    </row>
    <row r="374" spans="1:2" x14ac:dyDescent="0.25">
      <c r="A374" s="170"/>
      <c r="B374" s="170"/>
    </row>
    <row r="375" spans="1:2" x14ac:dyDescent="0.25">
      <c r="A375" s="170"/>
      <c r="B375" s="170"/>
    </row>
    <row r="376" spans="1:2" x14ac:dyDescent="0.25">
      <c r="A376" s="170"/>
      <c r="B376" s="170"/>
    </row>
    <row r="377" spans="1:2" x14ac:dyDescent="0.25">
      <c r="A377" s="170"/>
      <c r="B377" s="170"/>
    </row>
    <row r="378" spans="1:2" x14ac:dyDescent="0.25">
      <c r="A378" s="170"/>
      <c r="B378" s="170"/>
    </row>
    <row r="379" spans="1:2" x14ac:dyDescent="0.25">
      <c r="A379" s="170"/>
      <c r="B379" s="170"/>
    </row>
    <row r="380" spans="1:2" x14ac:dyDescent="0.25">
      <c r="A380" s="170"/>
      <c r="B380" s="170"/>
    </row>
    <row r="381" spans="1:2" x14ac:dyDescent="0.25">
      <c r="A381" s="170"/>
      <c r="B381" s="170"/>
    </row>
    <row r="382" spans="1:2" x14ac:dyDescent="0.25">
      <c r="A382" s="170"/>
      <c r="B382" s="170"/>
    </row>
    <row r="383" spans="1:2" x14ac:dyDescent="0.25">
      <c r="A383" s="170"/>
      <c r="B383" s="170"/>
    </row>
    <row r="384" spans="1:2" x14ac:dyDescent="0.25">
      <c r="A384" s="170"/>
      <c r="B384" s="170"/>
    </row>
    <row r="385" spans="1:2" x14ac:dyDescent="0.25">
      <c r="A385" s="170"/>
      <c r="B385" s="170"/>
    </row>
    <row r="386" spans="1:2" x14ac:dyDescent="0.25">
      <c r="A386" s="170"/>
      <c r="B386" s="170"/>
    </row>
    <row r="387" spans="1:2" x14ac:dyDescent="0.25">
      <c r="A387" s="170"/>
      <c r="B387" s="170"/>
    </row>
    <row r="388" spans="1:2" x14ac:dyDescent="0.25">
      <c r="A388" s="170"/>
      <c r="B388" s="170"/>
    </row>
    <row r="389" spans="1:2" x14ac:dyDescent="0.25">
      <c r="A389" s="170"/>
      <c r="B389" s="170"/>
    </row>
    <row r="390" spans="1:2" x14ac:dyDescent="0.25">
      <c r="A390" s="170"/>
      <c r="B390" s="170"/>
    </row>
    <row r="391" spans="1:2" x14ac:dyDescent="0.25">
      <c r="A391" s="170"/>
      <c r="B391" s="170"/>
    </row>
    <row r="392" spans="1:2" x14ac:dyDescent="0.25">
      <c r="A392" s="170"/>
      <c r="B392" s="170"/>
    </row>
    <row r="393" spans="1:2" x14ac:dyDescent="0.25">
      <c r="A393" s="170"/>
      <c r="B393" s="170"/>
    </row>
    <row r="394" spans="1:2" x14ac:dyDescent="0.25">
      <c r="A394" s="170"/>
      <c r="B394" s="170"/>
    </row>
    <row r="395" spans="1:2" x14ac:dyDescent="0.25">
      <c r="A395" s="170"/>
      <c r="B395" s="170"/>
    </row>
    <row r="396" spans="1:2" x14ac:dyDescent="0.25">
      <c r="A396" s="170"/>
      <c r="B396" s="170"/>
    </row>
    <row r="397" spans="1:2" x14ac:dyDescent="0.25">
      <c r="A397" s="170"/>
      <c r="B397" s="170"/>
    </row>
    <row r="398" spans="1:2" x14ac:dyDescent="0.25">
      <c r="A398" s="170"/>
      <c r="B398" s="170"/>
    </row>
    <row r="399" spans="1:2" x14ac:dyDescent="0.25">
      <c r="A399" s="170"/>
      <c r="B399" s="170"/>
    </row>
    <row r="400" spans="1:2" x14ac:dyDescent="0.25">
      <c r="A400" s="170"/>
      <c r="B400" s="170"/>
    </row>
    <row r="401" spans="1:2" x14ac:dyDescent="0.25">
      <c r="A401" s="170"/>
      <c r="B401" s="170"/>
    </row>
    <row r="402" spans="1:2" x14ac:dyDescent="0.25">
      <c r="A402" s="170"/>
      <c r="B402" s="170"/>
    </row>
    <row r="403" spans="1:2" x14ac:dyDescent="0.25">
      <c r="A403" s="170"/>
      <c r="B403" s="170"/>
    </row>
    <row r="404" spans="1:2" x14ac:dyDescent="0.25">
      <c r="A404" s="170"/>
      <c r="B404" s="170"/>
    </row>
    <row r="405" spans="1:2" x14ac:dyDescent="0.25">
      <c r="A405" s="170"/>
      <c r="B405" s="170"/>
    </row>
    <row r="406" spans="1:2" x14ac:dyDescent="0.25">
      <c r="A406" s="170"/>
      <c r="B406" s="170"/>
    </row>
    <row r="407" spans="1:2" x14ac:dyDescent="0.25">
      <c r="A407" s="170"/>
      <c r="B407" s="170"/>
    </row>
    <row r="408" spans="1:2" x14ac:dyDescent="0.25">
      <c r="A408" s="170"/>
      <c r="B408" s="170"/>
    </row>
    <row r="409" spans="1:2" x14ac:dyDescent="0.25">
      <c r="A409" s="170"/>
      <c r="B409" s="170"/>
    </row>
    <row r="410" spans="1:2" x14ac:dyDescent="0.25">
      <c r="A410" s="170"/>
      <c r="B410" s="170"/>
    </row>
    <row r="411" spans="1:2" x14ac:dyDescent="0.25">
      <c r="A411" s="170"/>
      <c r="B411" s="170"/>
    </row>
    <row r="412" spans="1:2" x14ac:dyDescent="0.25">
      <c r="A412" s="170"/>
      <c r="B412" s="170"/>
    </row>
    <row r="413" spans="1:2" x14ac:dyDescent="0.25">
      <c r="A413" s="170"/>
      <c r="B413" s="170"/>
    </row>
    <row r="414" spans="1:2" x14ac:dyDescent="0.25">
      <c r="A414" s="170"/>
      <c r="B414" s="170"/>
    </row>
    <row r="415" spans="1:2" x14ac:dyDescent="0.25">
      <c r="A415" s="170"/>
      <c r="B415" s="170"/>
    </row>
    <row r="416" spans="1:2" x14ac:dyDescent="0.25">
      <c r="A416" s="170"/>
      <c r="B416" s="170"/>
    </row>
    <row r="417" spans="1:2" x14ac:dyDescent="0.25">
      <c r="A417" s="170"/>
      <c r="B417" s="170"/>
    </row>
    <row r="418" spans="1:2" x14ac:dyDescent="0.25">
      <c r="A418" s="170"/>
      <c r="B418" s="170"/>
    </row>
    <row r="419" spans="1:2" x14ac:dyDescent="0.25">
      <c r="A419" s="170"/>
      <c r="B419" s="170"/>
    </row>
    <row r="420" spans="1:2" x14ac:dyDescent="0.25">
      <c r="A420" s="170"/>
      <c r="B420" s="170"/>
    </row>
    <row r="421" spans="1:2" x14ac:dyDescent="0.25">
      <c r="A421" s="170"/>
      <c r="B421" s="170"/>
    </row>
    <row r="422" spans="1:2" x14ac:dyDescent="0.25">
      <c r="A422" s="170"/>
      <c r="B422" s="170"/>
    </row>
    <row r="423" spans="1:2" x14ac:dyDescent="0.25">
      <c r="A423" s="170"/>
      <c r="B423" s="170"/>
    </row>
    <row r="424" spans="1:2" x14ac:dyDescent="0.25">
      <c r="A424" s="170"/>
      <c r="B424" s="170"/>
    </row>
    <row r="425" spans="1:2" x14ac:dyDescent="0.25">
      <c r="A425" s="170"/>
      <c r="B425" s="170"/>
    </row>
    <row r="426" spans="1:2" x14ac:dyDescent="0.25">
      <c r="A426" s="170"/>
      <c r="B426" s="170"/>
    </row>
    <row r="427" spans="1:2" x14ac:dyDescent="0.25">
      <c r="A427" s="170"/>
      <c r="B427" s="170"/>
    </row>
    <row r="428" spans="1:2" x14ac:dyDescent="0.25">
      <c r="A428" s="170"/>
      <c r="B428" s="170"/>
    </row>
    <row r="429" spans="1:2" x14ac:dyDescent="0.25">
      <c r="A429" s="170"/>
      <c r="B429" s="170"/>
    </row>
    <row r="430" spans="1:2" x14ac:dyDescent="0.25">
      <c r="A430" s="170"/>
      <c r="B430" s="170"/>
    </row>
    <row r="431" spans="1:2" x14ac:dyDescent="0.25">
      <c r="A431" s="170"/>
      <c r="B431" s="170"/>
    </row>
    <row r="432" spans="1:2" x14ac:dyDescent="0.25">
      <c r="A432" s="170"/>
      <c r="B432" s="170"/>
    </row>
    <row r="433" spans="1:2" x14ac:dyDescent="0.25">
      <c r="A433" s="170"/>
      <c r="B433" s="170"/>
    </row>
    <row r="434" spans="1:2" x14ac:dyDescent="0.25">
      <c r="A434" s="170"/>
      <c r="B434" s="170"/>
    </row>
    <row r="435" spans="1:2" x14ac:dyDescent="0.25">
      <c r="A435" s="170"/>
      <c r="B435" s="170"/>
    </row>
    <row r="436" spans="1:2" x14ac:dyDescent="0.25">
      <c r="A436" s="170"/>
      <c r="B436" s="170"/>
    </row>
    <row r="437" spans="1:2" x14ac:dyDescent="0.25">
      <c r="A437" s="170"/>
      <c r="B437" s="170"/>
    </row>
    <row r="438" spans="1:2" x14ac:dyDescent="0.25">
      <c r="A438" s="170"/>
      <c r="B438" s="170"/>
    </row>
    <row r="439" spans="1:2" x14ac:dyDescent="0.25">
      <c r="A439" s="170"/>
      <c r="B439" s="170"/>
    </row>
    <row r="440" spans="1:2" x14ac:dyDescent="0.25">
      <c r="A440" s="170"/>
      <c r="B440" s="170"/>
    </row>
    <row r="441" spans="1:2" x14ac:dyDescent="0.25">
      <c r="A441" s="170"/>
      <c r="B441" s="170"/>
    </row>
    <row r="442" spans="1:2" x14ac:dyDescent="0.25">
      <c r="A442" s="170"/>
      <c r="B442" s="170"/>
    </row>
    <row r="443" spans="1:2" x14ac:dyDescent="0.25">
      <c r="A443" s="170"/>
      <c r="B443" s="170"/>
    </row>
    <row r="444" spans="1:2" x14ac:dyDescent="0.25">
      <c r="A444" s="170"/>
      <c r="B444" s="170"/>
    </row>
    <row r="445" spans="1:2" x14ac:dyDescent="0.25">
      <c r="A445" s="170"/>
      <c r="B445" s="170"/>
    </row>
    <row r="446" spans="1:2" x14ac:dyDescent="0.25">
      <c r="A446" s="170"/>
      <c r="B446" s="170"/>
    </row>
    <row r="447" spans="1:2" x14ac:dyDescent="0.25">
      <c r="A447" s="170"/>
      <c r="B447" s="170"/>
    </row>
    <row r="448" spans="1:2" x14ac:dyDescent="0.25">
      <c r="A448" s="170"/>
      <c r="B448" s="170"/>
    </row>
    <row r="449" spans="1:2" x14ac:dyDescent="0.25">
      <c r="A449" s="170"/>
      <c r="B449" s="170"/>
    </row>
    <row r="450" spans="1:2" x14ac:dyDescent="0.25">
      <c r="A450" s="170"/>
      <c r="B450" s="170"/>
    </row>
    <row r="451" spans="1:2" x14ac:dyDescent="0.25">
      <c r="A451" s="170"/>
      <c r="B451" s="170"/>
    </row>
    <row r="452" spans="1:2" x14ac:dyDescent="0.25">
      <c r="A452" s="170"/>
      <c r="B452" s="170"/>
    </row>
    <row r="453" spans="1:2" x14ac:dyDescent="0.25">
      <c r="A453" s="170"/>
      <c r="B453" s="170"/>
    </row>
    <row r="454" spans="1:2" x14ac:dyDescent="0.25">
      <c r="A454" s="170"/>
      <c r="B454" s="170"/>
    </row>
    <row r="455" spans="1:2" x14ac:dyDescent="0.25">
      <c r="A455" s="170"/>
      <c r="B455" s="170"/>
    </row>
    <row r="456" spans="1:2" x14ac:dyDescent="0.25">
      <c r="A456" s="170"/>
      <c r="B456" s="170"/>
    </row>
    <row r="457" spans="1:2" x14ac:dyDescent="0.25">
      <c r="A457" s="170"/>
      <c r="B457" s="170"/>
    </row>
    <row r="458" spans="1:2" x14ac:dyDescent="0.25">
      <c r="A458" s="170"/>
      <c r="B458" s="170"/>
    </row>
    <row r="459" spans="1:2" x14ac:dyDescent="0.25">
      <c r="A459" s="170"/>
      <c r="B459" s="170"/>
    </row>
    <row r="460" spans="1:2" x14ac:dyDescent="0.25">
      <c r="A460" s="170"/>
      <c r="B460" s="170"/>
    </row>
    <row r="461" spans="1:2" x14ac:dyDescent="0.25">
      <c r="A461" s="170"/>
      <c r="B461" s="170"/>
    </row>
    <row r="462" spans="1:2" x14ac:dyDescent="0.25">
      <c r="A462" s="170"/>
      <c r="B462" s="170"/>
    </row>
    <row r="463" spans="1:2" x14ac:dyDescent="0.25">
      <c r="A463" s="170"/>
      <c r="B463" s="170"/>
    </row>
    <row r="464" spans="1:2" x14ac:dyDescent="0.25">
      <c r="A464" s="170"/>
      <c r="B464" s="170"/>
    </row>
    <row r="465" spans="1:2" x14ac:dyDescent="0.25">
      <c r="A465" s="170"/>
      <c r="B465" s="170"/>
    </row>
    <row r="466" spans="1:2" x14ac:dyDescent="0.25">
      <c r="A466" s="170"/>
      <c r="B466" s="170"/>
    </row>
    <row r="467" spans="1:2" x14ac:dyDescent="0.25">
      <c r="A467" s="170"/>
      <c r="B467" s="170"/>
    </row>
    <row r="468" spans="1:2" x14ac:dyDescent="0.25">
      <c r="A468" s="170"/>
      <c r="B468" s="170"/>
    </row>
    <row r="469" spans="1:2" x14ac:dyDescent="0.25">
      <c r="A469" s="170"/>
      <c r="B469" s="170"/>
    </row>
    <row r="470" spans="1:2" x14ac:dyDescent="0.25">
      <c r="A470" s="170"/>
      <c r="B470" s="170"/>
    </row>
    <row r="471" spans="1:2" x14ac:dyDescent="0.25">
      <c r="A471" s="170"/>
      <c r="B471" s="170"/>
    </row>
    <row r="472" spans="1:2" x14ac:dyDescent="0.25">
      <c r="A472" s="170"/>
      <c r="B472" s="170"/>
    </row>
    <row r="473" spans="1:2" x14ac:dyDescent="0.25">
      <c r="A473" s="170"/>
      <c r="B473" s="170"/>
    </row>
    <row r="474" spans="1:2" x14ac:dyDescent="0.25">
      <c r="A474" s="170"/>
      <c r="B474" s="170"/>
    </row>
    <row r="475" spans="1:2" x14ac:dyDescent="0.25">
      <c r="A475" s="170"/>
      <c r="B475" s="170"/>
    </row>
    <row r="476" spans="1:2" x14ac:dyDescent="0.25">
      <c r="A476" s="170"/>
      <c r="B476" s="170"/>
    </row>
    <row r="477" spans="1:2" x14ac:dyDescent="0.25">
      <c r="A477" s="170"/>
      <c r="B477" s="170"/>
    </row>
    <row r="478" spans="1:2" x14ac:dyDescent="0.25">
      <c r="A478" s="170"/>
      <c r="B478" s="170"/>
    </row>
    <row r="479" spans="1:2" x14ac:dyDescent="0.25">
      <c r="A479" s="170"/>
      <c r="B479" s="170"/>
    </row>
    <row r="480" spans="1:2" x14ac:dyDescent="0.25">
      <c r="A480" s="170"/>
      <c r="B480" s="170"/>
    </row>
    <row r="481" spans="1:2" x14ac:dyDescent="0.25">
      <c r="A481" s="170"/>
      <c r="B481" s="170"/>
    </row>
    <row r="482" spans="1:2" x14ac:dyDescent="0.25">
      <c r="A482" s="170"/>
      <c r="B482" s="170"/>
    </row>
    <row r="483" spans="1:2" x14ac:dyDescent="0.25">
      <c r="A483" s="170"/>
      <c r="B483" s="170"/>
    </row>
    <row r="484" spans="1:2" x14ac:dyDescent="0.25">
      <c r="A484" s="170"/>
      <c r="B484" s="170"/>
    </row>
    <row r="485" spans="1:2" x14ac:dyDescent="0.25">
      <c r="A485" s="170"/>
      <c r="B485" s="170"/>
    </row>
    <row r="486" spans="1:2" x14ac:dyDescent="0.25">
      <c r="A486" s="170"/>
      <c r="B486" s="170"/>
    </row>
    <row r="487" spans="1:2" x14ac:dyDescent="0.25">
      <c r="A487" s="170"/>
      <c r="B487" s="170"/>
    </row>
    <row r="488" spans="1:2" x14ac:dyDescent="0.25">
      <c r="A488" s="170"/>
      <c r="B488" s="170"/>
    </row>
    <row r="489" spans="1:2" x14ac:dyDescent="0.25">
      <c r="A489" s="170"/>
      <c r="B489" s="170"/>
    </row>
    <row r="490" spans="1:2" x14ac:dyDescent="0.25">
      <c r="A490" s="170"/>
      <c r="B490" s="170"/>
    </row>
    <row r="491" spans="1:2" x14ac:dyDescent="0.25">
      <c r="A491" s="170"/>
      <c r="B491" s="170"/>
    </row>
    <row r="492" spans="1:2" x14ac:dyDescent="0.25">
      <c r="A492" s="170"/>
      <c r="B492" s="170"/>
    </row>
    <row r="493" spans="1:2" x14ac:dyDescent="0.25">
      <c r="A493" s="170"/>
      <c r="B493" s="170"/>
    </row>
    <row r="494" spans="1:2" x14ac:dyDescent="0.25">
      <c r="A494" s="170"/>
      <c r="B494" s="170"/>
    </row>
    <row r="495" spans="1:2" x14ac:dyDescent="0.25">
      <c r="A495" s="170"/>
      <c r="B495" s="170"/>
    </row>
    <row r="496" spans="1:2" x14ac:dyDescent="0.25">
      <c r="A496" s="170"/>
      <c r="B496" s="170"/>
    </row>
    <row r="497" spans="1:2" x14ac:dyDescent="0.25">
      <c r="A497" s="170"/>
      <c r="B497" s="170"/>
    </row>
    <row r="498" spans="1:2" x14ac:dyDescent="0.25">
      <c r="A498" s="170"/>
      <c r="B498" s="170"/>
    </row>
    <row r="499" spans="1:2" x14ac:dyDescent="0.25">
      <c r="A499" s="170"/>
      <c r="B499" s="170"/>
    </row>
    <row r="500" spans="1:2" x14ac:dyDescent="0.25">
      <c r="A500" s="170"/>
      <c r="B500" s="170"/>
    </row>
    <row r="501" spans="1:2" x14ac:dyDescent="0.25">
      <c r="A501" s="170"/>
      <c r="B501" s="170"/>
    </row>
    <row r="502" spans="1:2" x14ac:dyDescent="0.25">
      <c r="A502" s="170"/>
      <c r="B502" s="170"/>
    </row>
    <row r="503" spans="1:2" x14ac:dyDescent="0.25">
      <c r="A503" s="170"/>
      <c r="B503" s="170"/>
    </row>
    <row r="504" spans="1:2" x14ac:dyDescent="0.25">
      <c r="A504" s="170"/>
      <c r="B504" s="170"/>
    </row>
    <row r="505" spans="1:2" x14ac:dyDescent="0.25">
      <c r="A505" s="170"/>
      <c r="B505" s="170"/>
    </row>
    <row r="506" spans="1:2" x14ac:dyDescent="0.25">
      <c r="A506" s="170"/>
      <c r="B506" s="170"/>
    </row>
    <row r="507" spans="1:2" x14ac:dyDescent="0.25">
      <c r="A507" s="170"/>
      <c r="B507" s="170"/>
    </row>
    <row r="508" spans="1:2" x14ac:dyDescent="0.25">
      <c r="A508" s="170"/>
      <c r="B508" s="170"/>
    </row>
    <row r="509" spans="1:2" x14ac:dyDescent="0.25">
      <c r="A509" s="170"/>
      <c r="B509" s="170"/>
    </row>
    <row r="510" spans="1:2" x14ac:dyDescent="0.25">
      <c r="A510" s="170"/>
      <c r="B510" s="170"/>
    </row>
    <row r="511" spans="1:2" x14ac:dyDescent="0.25">
      <c r="A511" s="170"/>
      <c r="B511" s="170"/>
    </row>
    <row r="512" spans="1:2" x14ac:dyDescent="0.25">
      <c r="A512" s="170"/>
      <c r="B512" s="170"/>
    </row>
    <row r="513" spans="1:2" x14ac:dyDescent="0.25">
      <c r="A513" s="170"/>
      <c r="B513" s="170"/>
    </row>
    <row r="514" spans="1:2" x14ac:dyDescent="0.25">
      <c r="A514" s="170"/>
      <c r="B514" s="170"/>
    </row>
    <row r="515" spans="1:2" x14ac:dyDescent="0.25">
      <c r="A515" s="170"/>
      <c r="B515" s="170"/>
    </row>
    <row r="516" spans="1:2" x14ac:dyDescent="0.25">
      <c r="A516" s="170"/>
      <c r="B516" s="170"/>
    </row>
    <row r="517" spans="1:2" x14ac:dyDescent="0.25">
      <c r="A517" s="170"/>
      <c r="B517" s="170"/>
    </row>
    <row r="518" spans="1:2" x14ac:dyDescent="0.25">
      <c r="A518" s="170"/>
      <c r="B518" s="170"/>
    </row>
    <row r="519" spans="1:2" x14ac:dyDescent="0.25">
      <c r="A519" s="170"/>
      <c r="B519" s="170"/>
    </row>
    <row r="520" spans="1:2" x14ac:dyDescent="0.25">
      <c r="A520" s="170"/>
      <c r="B520" s="170"/>
    </row>
    <row r="521" spans="1:2" x14ac:dyDescent="0.25">
      <c r="A521" s="170"/>
      <c r="B521" s="170"/>
    </row>
    <row r="522" spans="1:2" x14ac:dyDescent="0.25">
      <c r="A522" s="170"/>
      <c r="B522" s="170"/>
    </row>
    <row r="523" spans="1:2" x14ac:dyDescent="0.25">
      <c r="A523" s="170"/>
      <c r="B523" s="170"/>
    </row>
    <row r="524" spans="1:2" x14ac:dyDescent="0.25">
      <c r="A524" s="170"/>
      <c r="B524" s="170"/>
    </row>
    <row r="525" spans="1:2" x14ac:dyDescent="0.25">
      <c r="A525" s="170"/>
      <c r="B525" s="170"/>
    </row>
    <row r="526" spans="1:2" x14ac:dyDescent="0.25">
      <c r="A526" s="170"/>
      <c r="B526" s="170"/>
    </row>
    <row r="527" spans="1:2" x14ac:dyDescent="0.25">
      <c r="A527" s="170"/>
      <c r="B527" s="170"/>
    </row>
    <row r="528" spans="1:2" x14ac:dyDescent="0.25">
      <c r="A528" s="170"/>
      <c r="B528" s="170"/>
    </row>
    <row r="529" spans="1:2" x14ac:dyDescent="0.25">
      <c r="A529" s="170"/>
      <c r="B529" s="170"/>
    </row>
    <row r="530" spans="1:2" x14ac:dyDescent="0.25">
      <c r="A530" s="170"/>
      <c r="B530" s="170"/>
    </row>
    <row r="531" spans="1:2" x14ac:dyDescent="0.25">
      <c r="A531" s="170"/>
      <c r="B531" s="170"/>
    </row>
    <row r="532" spans="1:2" x14ac:dyDescent="0.25">
      <c r="A532" s="170"/>
      <c r="B532" s="170"/>
    </row>
    <row r="533" spans="1:2" x14ac:dyDescent="0.25">
      <c r="A533" s="170"/>
      <c r="B533" s="170"/>
    </row>
    <row r="534" spans="1:2" x14ac:dyDescent="0.25">
      <c r="A534" s="170"/>
      <c r="B534" s="170"/>
    </row>
    <row r="535" spans="1:2" x14ac:dyDescent="0.25">
      <c r="A535" s="170"/>
      <c r="B535" s="170"/>
    </row>
    <row r="536" spans="1:2" x14ac:dyDescent="0.25">
      <c r="A536" s="170"/>
      <c r="B536" s="170"/>
    </row>
    <row r="537" spans="1:2" x14ac:dyDescent="0.25">
      <c r="A537" s="170"/>
      <c r="B537" s="170"/>
    </row>
    <row r="538" spans="1:2" x14ac:dyDescent="0.25">
      <c r="A538" s="170"/>
      <c r="B538" s="170"/>
    </row>
    <row r="539" spans="1:2" x14ac:dyDescent="0.25">
      <c r="A539" s="170"/>
      <c r="B539" s="170"/>
    </row>
    <row r="540" spans="1:2" x14ac:dyDescent="0.25">
      <c r="A540" s="170"/>
      <c r="B540" s="170"/>
    </row>
    <row r="541" spans="1:2" x14ac:dyDescent="0.25">
      <c r="A541" s="170"/>
      <c r="B541" s="170"/>
    </row>
    <row r="542" spans="1:2" x14ac:dyDescent="0.25">
      <c r="A542" s="170"/>
      <c r="B542" s="170"/>
    </row>
    <row r="543" spans="1:2" x14ac:dyDescent="0.25">
      <c r="A543" s="170"/>
      <c r="B543" s="170"/>
    </row>
    <row r="544" spans="1:2" x14ac:dyDescent="0.25">
      <c r="A544" s="170"/>
      <c r="B544" s="170"/>
    </row>
    <row r="545" spans="1:2" x14ac:dyDescent="0.25">
      <c r="A545" s="170"/>
      <c r="B545" s="170"/>
    </row>
    <row r="546" spans="1:2" x14ac:dyDescent="0.25">
      <c r="A546" s="170"/>
      <c r="B546" s="170"/>
    </row>
    <row r="547" spans="1:2" x14ac:dyDescent="0.25">
      <c r="A547" s="170"/>
      <c r="B547" s="170"/>
    </row>
    <row r="548" spans="1:2" x14ac:dyDescent="0.25">
      <c r="A548" s="170"/>
      <c r="B548" s="170"/>
    </row>
    <row r="549" spans="1:2" x14ac:dyDescent="0.25">
      <c r="A549" s="170"/>
      <c r="B549" s="170"/>
    </row>
    <row r="550" spans="1:2" x14ac:dyDescent="0.25">
      <c r="A550" s="170"/>
      <c r="B550" s="170"/>
    </row>
    <row r="551" spans="1:2" x14ac:dyDescent="0.25">
      <c r="A551" s="170"/>
      <c r="B551" s="170"/>
    </row>
    <row r="552" spans="1:2" x14ac:dyDescent="0.25">
      <c r="A552" s="170"/>
      <c r="B552" s="170"/>
    </row>
    <row r="553" spans="1:2" x14ac:dyDescent="0.25">
      <c r="A553" s="170"/>
      <c r="B553" s="170"/>
    </row>
    <row r="554" spans="1:2" x14ac:dyDescent="0.25">
      <c r="A554" s="170"/>
      <c r="B554" s="170"/>
    </row>
    <row r="555" spans="1:2" x14ac:dyDescent="0.25">
      <c r="A555" s="170"/>
      <c r="B555" s="170"/>
    </row>
    <row r="556" spans="1:2" x14ac:dyDescent="0.25">
      <c r="A556" s="170"/>
      <c r="B556" s="170"/>
    </row>
    <row r="557" spans="1:2" x14ac:dyDescent="0.25">
      <c r="A557" s="170"/>
      <c r="B557" s="170"/>
    </row>
    <row r="558" spans="1:2" x14ac:dyDescent="0.25">
      <c r="A558" s="170"/>
      <c r="B558" s="170"/>
    </row>
    <row r="559" spans="1:2" x14ac:dyDescent="0.25">
      <c r="A559" s="170"/>
      <c r="B559" s="170"/>
    </row>
    <row r="560" spans="1:2" x14ac:dyDescent="0.25">
      <c r="A560" s="170"/>
      <c r="B560" s="170"/>
    </row>
    <row r="561" spans="1:2" x14ac:dyDescent="0.25">
      <c r="A561" s="170"/>
      <c r="B561" s="170"/>
    </row>
    <row r="562" spans="1:2" x14ac:dyDescent="0.25">
      <c r="A562" s="170"/>
      <c r="B562" s="170"/>
    </row>
    <row r="563" spans="1:2" x14ac:dyDescent="0.25">
      <c r="A563" s="170"/>
      <c r="B563" s="170"/>
    </row>
    <row r="564" spans="1:2" x14ac:dyDescent="0.25">
      <c r="A564" s="170"/>
      <c r="B564" s="170"/>
    </row>
    <row r="565" spans="1:2" x14ac:dyDescent="0.25">
      <c r="A565" s="170"/>
      <c r="B565" s="170"/>
    </row>
    <row r="566" spans="1:2" x14ac:dyDescent="0.25">
      <c r="A566" s="170"/>
      <c r="B566" s="170"/>
    </row>
    <row r="567" spans="1:2" x14ac:dyDescent="0.25">
      <c r="A567" s="170"/>
      <c r="B567" s="170"/>
    </row>
    <row r="568" spans="1:2" x14ac:dyDescent="0.25">
      <c r="A568" s="170"/>
      <c r="B568" s="170"/>
    </row>
    <row r="569" spans="1:2" x14ac:dyDescent="0.25">
      <c r="A569" s="170"/>
      <c r="B569" s="170"/>
    </row>
    <row r="570" spans="1:2" x14ac:dyDescent="0.25">
      <c r="A570" s="170"/>
      <c r="B570" s="170"/>
    </row>
    <row r="571" spans="1:2" x14ac:dyDescent="0.25">
      <c r="A571" s="170"/>
      <c r="B571" s="170"/>
    </row>
    <row r="572" spans="1:2" x14ac:dyDescent="0.25">
      <c r="A572" s="170"/>
      <c r="B572" s="170"/>
    </row>
    <row r="573" spans="1:2" x14ac:dyDescent="0.25">
      <c r="A573" s="170"/>
      <c r="B573" s="170"/>
    </row>
    <row r="574" spans="1:2" x14ac:dyDescent="0.25">
      <c r="A574" s="170"/>
      <c r="B574" s="170"/>
    </row>
    <row r="575" spans="1:2" x14ac:dyDescent="0.25">
      <c r="A575" s="170"/>
      <c r="B575" s="170"/>
    </row>
    <row r="576" spans="1:2" x14ac:dyDescent="0.25">
      <c r="A576" s="170"/>
      <c r="B576" s="170"/>
    </row>
    <row r="577" spans="1:2" x14ac:dyDescent="0.25">
      <c r="A577" s="170"/>
      <c r="B577" s="170"/>
    </row>
    <row r="578" spans="1:2" x14ac:dyDescent="0.25">
      <c r="A578" s="170"/>
      <c r="B578" s="170"/>
    </row>
    <row r="579" spans="1:2" x14ac:dyDescent="0.25">
      <c r="A579" s="170"/>
      <c r="B579" s="170"/>
    </row>
    <row r="580" spans="1:2" x14ac:dyDescent="0.25">
      <c r="A580" s="170"/>
      <c r="B580" s="170"/>
    </row>
    <row r="581" spans="1:2" x14ac:dyDescent="0.25">
      <c r="A581" s="170"/>
      <c r="B581" s="170"/>
    </row>
    <row r="582" spans="1:2" x14ac:dyDescent="0.25">
      <c r="A582" s="170"/>
      <c r="B582" s="170"/>
    </row>
    <row r="583" spans="1:2" x14ac:dyDescent="0.25">
      <c r="A583" s="170"/>
      <c r="B583" s="170"/>
    </row>
    <row r="584" spans="1:2" x14ac:dyDescent="0.25">
      <c r="A584" s="170"/>
      <c r="B584" s="170"/>
    </row>
    <row r="585" spans="1:2" x14ac:dyDescent="0.25">
      <c r="A585" s="170"/>
      <c r="B585" s="170"/>
    </row>
    <row r="586" spans="1:2" x14ac:dyDescent="0.25">
      <c r="A586" s="170"/>
      <c r="B586" s="170"/>
    </row>
    <row r="587" spans="1:2" x14ac:dyDescent="0.25">
      <c r="A587" s="170"/>
      <c r="B587" s="170"/>
    </row>
    <row r="588" spans="1:2" x14ac:dyDescent="0.25">
      <c r="A588" s="170"/>
      <c r="B588" s="170"/>
    </row>
    <row r="589" spans="1:2" x14ac:dyDescent="0.25">
      <c r="A589" s="170"/>
      <c r="B589" s="170"/>
    </row>
    <row r="590" spans="1:2" x14ac:dyDescent="0.25">
      <c r="A590" s="170"/>
      <c r="B590" s="170"/>
    </row>
    <row r="591" spans="1:2" x14ac:dyDescent="0.25">
      <c r="A591" s="170"/>
      <c r="B591" s="170"/>
    </row>
    <row r="592" spans="1:2" x14ac:dyDescent="0.25">
      <c r="A592" s="170"/>
      <c r="B592" s="170"/>
    </row>
    <row r="593" spans="1:2" x14ac:dyDescent="0.25">
      <c r="A593" s="170"/>
      <c r="B593" s="170"/>
    </row>
    <row r="594" spans="1:2" x14ac:dyDescent="0.25">
      <c r="A594" s="170"/>
      <c r="B594" s="170"/>
    </row>
    <row r="595" spans="1:2" x14ac:dyDescent="0.25">
      <c r="A595" s="170"/>
      <c r="B595" s="170"/>
    </row>
    <row r="596" spans="1:2" x14ac:dyDescent="0.25">
      <c r="A596" s="170"/>
      <c r="B596" s="170"/>
    </row>
    <row r="597" spans="1:2" x14ac:dyDescent="0.25">
      <c r="A597" s="170"/>
      <c r="B597" s="170"/>
    </row>
    <row r="598" spans="1:2" x14ac:dyDescent="0.25">
      <c r="A598" s="170"/>
      <c r="B598" s="170"/>
    </row>
    <row r="599" spans="1:2" x14ac:dyDescent="0.25">
      <c r="A599" s="170"/>
      <c r="B599" s="170"/>
    </row>
    <row r="600" spans="1:2" x14ac:dyDescent="0.25">
      <c r="A600" s="170"/>
      <c r="B600" s="170"/>
    </row>
    <row r="601" spans="1:2" x14ac:dyDescent="0.25">
      <c r="A601" s="170"/>
      <c r="B601" s="170"/>
    </row>
    <row r="602" spans="1:2" x14ac:dyDescent="0.25">
      <c r="A602" s="170"/>
      <c r="B602" s="170"/>
    </row>
    <row r="603" spans="1:2" x14ac:dyDescent="0.25">
      <c r="A603" s="170"/>
      <c r="B603" s="170"/>
    </row>
    <row r="604" spans="1:2" x14ac:dyDescent="0.25">
      <c r="A604" s="170"/>
      <c r="B604" s="170"/>
    </row>
    <row r="605" spans="1:2" x14ac:dyDescent="0.25">
      <c r="A605" s="170"/>
      <c r="B605" s="170"/>
    </row>
    <row r="606" spans="1:2" x14ac:dyDescent="0.25">
      <c r="A606" s="170"/>
      <c r="B606" s="170"/>
    </row>
    <row r="607" spans="1:2" x14ac:dyDescent="0.25">
      <c r="A607" s="170"/>
      <c r="B607" s="170"/>
    </row>
    <row r="608" spans="1:2" x14ac:dyDescent="0.25">
      <c r="A608" s="170"/>
      <c r="B608" s="170"/>
    </row>
    <row r="609" spans="1:2" x14ac:dyDescent="0.25">
      <c r="A609" s="170"/>
      <c r="B609" s="170"/>
    </row>
    <row r="610" spans="1:2" x14ac:dyDescent="0.25">
      <c r="A610" s="170"/>
      <c r="B610" s="170"/>
    </row>
    <row r="611" spans="1:2" x14ac:dyDescent="0.25">
      <c r="A611" s="170"/>
      <c r="B611" s="170"/>
    </row>
    <row r="612" spans="1:2" x14ac:dyDescent="0.25">
      <c r="A612" s="170"/>
      <c r="B612" s="170"/>
    </row>
    <row r="613" spans="1:2" x14ac:dyDescent="0.25">
      <c r="A613" s="170"/>
      <c r="B613" s="170"/>
    </row>
    <row r="614" spans="1:2" x14ac:dyDescent="0.25">
      <c r="A614" s="170"/>
      <c r="B614" s="170"/>
    </row>
    <row r="615" spans="1:2" x14ac:dyDescent="0.25">
      <c r="A615" s="170"/>
      <c r="B615" s="170"/>
    </row>
    <row r="616" spans="1:2" x14ac:dyDescent="0.25">
      <c r="A616" s="170"/>
      <c r="B616" s="170"/>
    </row>
    <row r="617" spans="1:2" x14ac:dyDescent="0.25">
      <c r="A617" s="170"/>
      <c r="B617" s="170"/>
    </row>
    <row r="618" spans="1:2" x14ac:dyDescent="0.25">
      <c r="A618" s="170"/>
      <c r="B618" s="170"/>
    </row>
    <row r="619" spans="1:2" x14ac:dyDescent="0.25">
      <c r="A619" s="170"/>
      <c r="B619" s="170"/>
    </row>
    <row r="620" spans="1:2" x14ac:dyDescent="0.25">
      <c r="A620" s="170"/>
      <c r="B620" s="170"/>
    </row>
    <row r="621" spans="1:2" x14ac:dyDescent="0.25">
      <c r="A621" s="170"/>
      <c r="B621" s="170"/>
    </row>
    <row r="622" spans="1:2" x14ac:dyDescent="0.25">
      <c r="A622" s="170"/>
      <c r="B622" s="170"/>
    </row>
    <row r="623" spans="1:2" x14ac:dyDescent="0.25">
      <c r="A623" s="170"/>
      <c r="B623" s="170"/>
    </row>
    <row r="624" spans="1:2" x14ac:dyDescent="0.25">
      <c r="A624" s="170"/>
      <c r="B624" s="170"/>
    </row>
    <row r="625" spans="1:2" x14ac:dyDescent="0.25">
      <c r="A625" s="170"/>
      <c r="B625" s="170"/>
    </row>
    <row r="626" spans="1:2" x14ac:dyDescent="0.25">
      <c r="A626" s="170"/>
      <c r="B626" s="170"/>
    </row>
    <row r="627" spans="1:2" x14ac:dyDescent="0.25">
      <c r="A627" s="170"/>
      <c r="B627" s="170"/>
    </row>
    <row r="628" spans="1:2" x14ac:dyDescent="0.25">
      <c r="A628" s="170"/>
      <c r="B628" s="170"/>
    </row>
    <row r="629" spans="1:2" x14ac:dyDescent="0.25">
      <c r="A629" s="170"/>
      <c r="B629" s="170"/>
    </row>
    <row r="630" spans="1:2" x14ac:dyDescent="0.25">
      <c r="A630" s="170"/>
      <c r="B630" s="170"/>
    </row>
    <row r="631" spans="1:2" x14ac:dyDescent="0.25">
      <c r="A631" s="170"/>
      <c r="B631" s="170"/>
    </row>
    <row r="632" spans="1:2" x14ac:dyDescent="0.25">
      <c r="A632" s="170"/>
      <c r="B632" s="170"/>
    </row>
    <row r="633" spans="1:2" x14ac:dyDescent="0.25">
      <c r="A633" s="170"/>
      <c r="B633" s="170"/>
    </row>
    <row r="634" spans="1:2" x14ac:dyDescent="0.25">
      <c r="A634" s="170"/>
      <c r="B634" s="170"/>
    </row>
    <row r="635" spans="1:2" x14ac:dyDescent="0.25">
      <c r="A635" s="170"/>
      <c r="B635" s="170"/>
    </row>
    <row r="636" spans="1:2" x14ac:dyDescent="0.25">
      <c r="A636" s="170"/>
      <c r="B636" s="170"/>
    </row>
    <row r="637" spans="1:2" x14ac:dyDescent="0.25">
      <c r="A637" s="170"/>
      <c r="B637" s="170"/>
    </row>
    <row r="638" spans="1:2" x14ac:dyDescent="0.25">
      <c r="A638" s="170"/>
      <c r="B638" s="170"/>
    </row>
    <row r="639" spans="1:2" x14ac:dyDescent="0.25">
      <c r="A639" s="170"/>
      <c r="B639" s="170"/>
    </row>
    <row r="640" spans="1:2" x14ac:dyDescent="0.25">
      <c r="A640" s="170"/>
      <c r="B640" s="170"/>
    </row>
    <row r="641" spans="1:2" x14ac:dyDescent="0.25">
      <c r="A641" s="170"/>
      <c r="B641" s="170"/>
    </row>
    <row r="642" spans="1:2" x14ac:dyDescent="0.25">
      <c r="A642" s="170"/>
      <c r="B642" s="170"/>
    </row>
    <row r="643" spans="1:2" x14ac:dyDescent="0.25">
      <c r="A643" s="170"/>
      <c r="B643" s="170"/>
    </row>
    <row r="644" spans="1:2" x14ac:dyDescent="0.25">
      <c r="A644" s="170"/>
      <c r="B644" s="170"/>
    </row>
    <row r="645" spans="1:2" x14ac:dyDescent="0.25">
      <c r="A645" s="170"/>
      <c r="B645" s="170"/>
    </row>
    <row r="646" spans="1:2" x14ac:dyDescent="0.25">
      <c r="A646" s="170"/>
      <c r="B646" s="170"/>
    </row>
    <row r="647" spans="1:2" x14ac:dyDescent="0.25">
      <c r="A647" s="170"/>
      <c r="B647" s="170"/>
    </row>
    <row r="648" spans="1:2" x14ac:dyDescent="0.25">
      <c r="A648" s="170"/>
      <c r="B648" s="170"/>
    </row>
    <row r="649" spans="1:2" x14ac:dyDescent="0.25">
      <c r="A649" s="170"/>
      <c r="B649" s="170"/>
    </row>
    <row r="650" spans="1:2" x14ac:dyDescent="0.25">
      <c r="A650" s="170"/>
      <c r="B650" s="170"/>
    </row>
    <row r="651" spans="1:2" x14ac:dyDescent="0.25">
      <c r="A651" s="170"/>
      <c r="B651" s="170"/>
    </row>
    <row r="652" spans="1:2" x14ac:dyDescent="0.25">
      <c r="A652" s="170"/>
      <c r="B652" s="170"/>
    </row>
    <row r="653" spans="1:2" x14ac:dyDescent="0.25">
      <c r="A653" s="170"/>
      <c r="B653" s="170"/>
    </row>
    <row r="654" spans="1:2" x14ac:dyDescent="0.25">
      <c r="A654" s="170"/>
      <c r="B654" s="170"/>
    </row>
    <row r="655" spans="1:2" x14ac:dyDescent="0.25">
      <c r="A655" s="170"/>
      <c r="B655" s="170"/>
    </row>
    <row r="656" spans="1:2" x14ac:dyDescent="0.25">
      <c r="A656" s="170"/>
      <c r="B656" s="170"/>
    </row>
    <row r="657" spans="1:2" x14ac:dyDescent="0.25">
      <c r="A657" s="170"/>
      <c r="B657" s="170"/>
    </row>
    <row r="658" spans="1:2" x14ac:dyDescent="0.25">
      <c r="A658" s="170"/>
      <c r="B658" s="170"/>
    </row>
    <row r="659" spans="1:2" x14ac:dyDescent="0.25">
      <c r="A659" s="170"/>
      <c r="B659" s="170"/>
    </row>
    <row r="660" spans="1:2" x14ac:dyDescent="0.25">
      <c r="A660" s="170"/>
      <c r="B660" s="170"/>
    </row>
    <row r="661" spans="1:2" x14ac:dyDescent="0.25">
      <c r="A661" s="170"/>
      <c r="B661" s="170"/>
    </row>
    <row r="662" spans="1:2" x14ac:dyDescent="0.25">
      <c r="A662" s="170"/>
      <c r="B662" s="170"/>
    </row>
    <row r="663" spans="1:2" x14ac:dyDescent="0.25">
      <c r="A663" s="170"/>
      <c r="B663" s="170"/>
    </row>
    <row r="664" spans="1:2" x14ac:dyDescent="0.25">
      <c r="A664" s="170"/>
      <c r="B664" s="170"/>
    </row>
    <row r="665" spans="1:2" x14ac:dyDescent="0.25">
      <c r="A665" s="170"/>
      <c r="B665" s="170"/>
    </row>
    <row r="666" spans="1:2" x14ac:dyDescent="0.25">
      <c r="A666" s="170"/>
      <c r="B666" s="170"/>
    </row>
    <row r="667" spans="1:2" x14ac:dyDescent="0.25">
      <c r="A667" s="170"/>
      <c r="B667" s="170"/>
    </row>
    <row r="668" spans="1:2" x14ac:dyDescent="0.25">
      <c r="A668" s="170"/>
      <c r="B668" s="170"/>
    </row>
    <row r="669" spans="1:2" x14ac:dyDescent="0.25">
      <c r="A669" s="170"/>
      <c r="B669" s="170"/>
    </row>
    <row r="670" spans="1:2" x14ac:dyDescent="0.25">
      <c r="A670" s="170"/>
      <c r="B670" s="170"/>
    </row>
    <row r="671" spans="1:2" x14ac:dyDescent="0.25">
      <c r="A671" s="170"/>
      <c r="B671" s="170"/>
    </row>
    <row r="672" spans="1:2" x14ac:dyDescent="0.25">
      <c r="A672" s="170"/>
      <c r="B672" s="170"/>
    </row>
    <row r="673" spans="1:2" x14ac:dyDescent="0.25">
      <c r="A673" s="170"/>
      <c r="B673" s="170"/>
    </row>
    <row r="674" spans="1:2" x14ac:dyDescent="0.25">
      <c r="A674" s="170"/>
      <c r="B674" s="170"/>
    </row>
    <row r="675" spans="1:2" x14ac:dyDescent="0.25">
      <c r="A675" s="170"/>
      <c r="B675" s="170"/>
    </row>
    <row r="676" spans="1:2" x14ac:dyDescent="0.25">
      <c r="A676" s="170"/>
      <c r="B676" s="170"/>
    </row>
    <row r="677" spans="1:2" x14ac:dyDescent="0.25">
      <c r="A677" s="170"/>
      <c r="B677" s="170"/>
    </row>
    <row r="678" spans="1:2" x14ac:dyDescent="0.25">
      <c r="A678" s="170"/>
      <c r="B678" s="170"/>
    </row>
    <row r="679" spans="1:2" x14ac:dyDescent="0.25">
      <c r="A679" s="170"/>
      <c r="B679" s="170"/>
    </row>
    <row r="680" spans="1:2" x14ac:dyDescent="0.25">
      <c r="A680" s="170"/>
      <c r="B680" s="170"/>
    </row>
    <row r="681" spans="1:2" x14ac:dyDescent="0.25">
      <c r="A681" s="170"/>
      <c r="B681" s="170"/>
    </row>
    <row r="682" spans="1:2" x14ac:dyDescent="0.25">
      <c r="A682" s="170"/>
      <c r="B682" s="170"/>
    </row>
    <row r="683" spans="1:2" x14ac:dyDescent="0.25">
      <c r="A683" s="170"/>
      <c r="B683" s="170"/>
    </row>
    <row r="684" spans="1:2" x14ac:dyDescent="0.25">
      <c r="A684" s="170"/>
      <c r="B684" s="170"/>
    </row>
    <row r="685" spans="1:2" x14ac:dyDescent="0.25">
      <c r="A685" s="170"/>
      <c r="B685" s="170"/>
    </row>
    <row r="686" spans="1:2" x14ac:dyDescent="0.25">
      <c r="A686" s="170"/>
      <c r="B686" s="170"/>
    </row>
    <row r="687" spans="1:2" x14ac:dyDescent="0.25">
      <c r="A687" s="170"/>
      <c r="B687" s="170"/>
    </row>
    <row r="688" spans="1:2" x14ac:dyDescent="0.25">
      <c r="A688" s="170"/>
      <c r="B688" s="170"/>
    </row>
    <row r="689" spans="1:2" x14ac:dyDescent="0.25">
      <c r="A689" s="170"/>
      <c r="B689" s="170"/>
    </row>
    <row r="690" spans="1:2" x14ac:dyDescent="0.25">
      <c r="A690" s="170"/>
      <c r="B690" s="170"/>
    </row>
    <row r="691" spans="1:2" x14ac:dyDescent="0.25">
      <c r="A691" s="170"/>
      <c r="B691" s="170"/>
    </row>
    <row r="692" spans="1:2" x14ac:dyDescent="0.25">
      <c r="A692" s="170"/>
      <c r="B692" s="170"/>
    </row>
    <row r="693" spans="1:2" x14ac:dyDescent="0.25">
      <c r="A693" s="170"/>
      <c r="B693" s="170"/>
    </row>
    <row r="694" spans="1:2" x14ac:dyDescent="0.25">
      <c r="A694" s="170"/>
      <c r="B694" s="170"/>
    </row>
    <row r="695" spans="1:2" x14ac:dyDescent="0.25">
      <c r="A695" s="170"/>
      <c r="B695" s="170"/>
    </row>
    <row r="696" spans="1:2" x14ac:dyDescent="0.25">
      <c r="A696" s="170"/>
      <c r="B696" s="170"/>
    </row>
    <row r="697" spans="1:2" x14ac:dyDescent="0.25">
      <c r="A697" s="170"/>
      <c r="B697" s="170"/>
    </row>
    <row r="698" spans="1:2" x14ac:dyDescent="0.25">
      <c r="A698" s="170"/>
      <c r="B698" s="170"/>
    </row>
    <row r="699" spans="1:2" x14ac:dyDescent="0.25">
      <c r="A699" s="170"/>
      <c r="B699" s="170"/>
    </row>
    <row r="700" spans="1:2" x14ac:dyDescent="0.25">
      <c r="A700" s="170"/>
      <c r="B700" s="170"/>
    </row>
    <row r="701" spans="1:2" x14ac:dyDescent="0.25">
      <c r="A701" s="170"/>
      <c r="B701" s="170"/>
    </row>
    <row r="702" spans="1:2" x14ac:dyDescent="0.25">
      <c r="A702" s="170"/>
      <c r="B702" s="170"/>
    </row>
    <row r="703" spans="1:2" x14ac:dyDescent="0.25">
      <c r="A703" s="170"/>
      <c r="B703" s="170"/>
    </row>
    <row r="704" spans="1:2" x14ac:dyDescent="0.25">
      <c r="A704" s="170"/>
      <c r="B704" s="170"/>
    </row>
    <row r="705" spans="1:2" x14ac:dyDescent="0.25">
      <c r="A705" s="170"/>
      <c r="B705" s="170"/>
    </row>
    <row r="706" spans="1:2" x14ac:dyDescent="0.25">
      <c r="A706" s="170"/>
      <c r="B706" s="170"/>
    </row>
    <row r="707" spans="1:2" x14ac:dyDescent="0.25">
      <c r="A707" s="170"/>
      <c r="B707" s="170"/>
    </row>
    <row r="708" spans="1:2" x14ac:dyDescent="0.25">
      <c r="A708" s="170"/>
      <c r="B708" s="170"/>
    </row>
    <row r="709" spans="1:2" x14ac:dyDescent="0.25">
      <c r="A709" s="170"/>
      <c r="B709" s="170"/>
    </row>
    <row r="710" spans="1:2" x14ac:dyDescent="0.25">
      <c r="A710" s="170"/>
      <c r="B710" s="170"/>
    </row>
    <row r="711" spans="1:2" x14ac:dyDescent="0.25">
      <c r="A711" s="170"/>
      <c r="B711" s="170"/>
    </row>
    <row r="712" spans="1:2" x14ac:dyDescent="0.25">
      <c r="A712" s="170"/>
      <c r="B712" s="170"/>
    </row>
    <row r="713" spans="1:2" x14ac:dyDescent="0.25">
      <c r="A713" s="170"/>
      <c r="B713" s="170"/>
    </row>
    <row r="714" spans="1:2" x14ac:dyDescent="0.25">
      <c r="A714" s="170"/>
      <c r="B714" s="170"/>
    </row>
    <row r="715" spans="1:2" x14ac:dyDescent="0.25">
      <c r="A715" s="170"/>
      <c r="B715" s="170"/>
    </row>
    <row r="716" spans="1:2" x14ac:dyDescent="0.25">
      <c r="A716" s="170"/>
      <c r="B716" s="170"/>
    </row>
    <row r="717" spans="1:2" x14ac:dyDescent="0.25">
      <c r="A717" s="170"/>
      <c r="B717" s="170"/>
    </row>
    <row r="718" spans="1:2" x14ac:dyDescent="0.25">
      <c r="A718" s="170"/>
      <c r="B718" s="170"/>
    </row>
    <row r="719" spans="1:2" x14ac:dyDescent="0.25">
      <c r="A719" s="170"/>
      <c r="B719" s="170"/>
    </row>
    <row r="720" spans="1:2" x14ac:dyDescent="0.25">
      <c r="A720" s="170"/>
      <c r="B720" s="170"/>
    </row>
    <row r="721" spans="1:2" x14ac:dyDescent="0.25">
      <c r="A721" s="170"/>
      <c r="B721" s="170"/>
    </row>
    <row r="722" spans="1:2" x14ac:dyDescent="0.25">
      <c r="A722" s="170"/>
      <c r="B722" s="170"/>
    </row>
    <row r="723" spans="1:2" x14ac:dyDescent="0.25">
      <c r="A723" s="170"/>
      <c r="B723" s="170"/>
    </row>
    <row r="724" spans="1:2" x14ac:dyDescent="0.25">
      <c r="A724" s="170"/>
      <c r="B724" s="170"/>
    </row>
    <row r="725" spans="1:2" x14ac:dyDescent="0.25">
      <c r="A725" s="170"/>
      <c r="B725" s="170"/>
    </row>
    <row r="726" spans="1:2" x14ac:dyDescent="0.25">
      <c r="A726" s="170"/>
      <c r="B726" s="170"/>
    </row>
    <row r="727" spans="1:2" x14ac:dyDescent="0.25">
      <c r="A727" s="170"/>
      <c r="B727" s="170"/>
    </row>
    <row r="728" spans="1:2" x14ac:dyDescent="0.25">
      <c r="A728" s="170"/>
      <c r="B728" s="170"/>
    </row>
    <row r="729" spans="1:2" x14ac:dyDescent="0.25">
      <c r="A729" s="170"/>
      <c r="B729" s="170"/>
    </row>
    <row r="730" spans="1:2" x14ac:dyDescent="0.25">
      <c r="A730" s="170"/>
      <c r="B730" s="170"/>
    </row>
    <row r="731" spans="1:2" x14ac:dyDescent="0.25">
      <c r="A731" s="170"/>
      <c r="B731" s="170"/>
    </row>
    <row r="732" spans="1:2" x14ac:dyDescent="0.25">
      <c r="A732" s="170"/>
      <c r="B732" s="170"/>
    </row>
    <row r="733" spans="1:2" x14ac:dyDescent="0.25">
      <c r="A733" s="170"/>
      <c r="B733" s="170"/>
    </row>
    <row r="734" spans="1:2" x14ac:dyDescent="0.25">
      <c r="A734" s="170"/>
      <c r="B734" s="170"/>
    </row>
    <row r="735" spans="1:2" x14ac:dyDescent="0.25">
      <c r="A735" s="170"/>
      <c r="B735" s="170"/>
    </row>
    <row r="736" spans="1:2" x14ac:dyDescent="0.25">
      <c r="A736" s="170"/>
      <c r="B736" s="170"/>
    </row>
    <row r="737" spans="1:2" x14ac:dyDescent="0.25">
      <c r="A737" s="170"/>
      <c r="B737" s="170"/>
    </row>
    <row r="738" spans="1:2" x14ac:dyDescent="0.25">
      <c r="A738" s="170"/>
      <c r="B738" s="170"/>
    </row>
    <row r="739" spans="1:2" x14ac:dyDescent="0.25">
      <c r="A739" s="170"/>
      <c r="B739" s="170"/>
    </row>
    <row r="740" spans="1:2" x14ac:dyDescent="0.25">
      <c r="A740" s="170"/>
      <c r="B740" s="170"/>
    </row>
    <row r="741" spans="1:2" x14ac:dyDescent="0.25">
      <c r="A741" s="170"/>
      <c r="B741" s="170"/>
    </row>
    <row r="742" spans="1:2" x14ac:dyDescent="0.25">
      <c r="A742" s="170"/>
      <c r="B742" s="170"/>
    </row>
    <row r="743" spans="1:2" x14ac:dyDescent="0.25">
      <c r="A743" s="170"/>
      <c r="B743" s="170"/>
    </row>
    <row r="744" spans="1:2" x14ac:dyDescent="0.25">
      <c r="A744" s="170"/>
      <c r="B744" s="170"/>
    </row>
    <row r="745" spans="1:2" x14ac:dyDescent="0.25">
      <c r="A745" s="170"/>
      <c r="B745" s="170"/>
    </row>
    <row r="746" spans="1:2" x14ac:dyDescent="0.25">
      <c r="A746" s="170"/>
      <c r="B746" s="170"/>
    </row>
    <row r="747" spans="1:2" x14ac:dyDescent="0.25">
      <c r="A747" s="170"/>
      <c r="B747" s="170"/>
    </row>
    <row r="748" spans="1:2" x14ac:dyDescent="0.25">
      <c r="A748" s="170"/>
      <c r="B748" s="170"/>
    </row>
    <row r="749" spans="1:2" x14ac:dyDescent="0.25">
      <c r="A749" s="170"/>
      <c r="B749" s="170"/>
    </row>
    <row r="750" spans="1:2" x14ac:dyDescent="0.25">
      <c r="A750" s="170"/>
      <c r="B750" s="170"/>
    </row>
    <row r="751" spans="1:2" x14ac:dyDescent="0.25">
      <c r="A751" s="170"/>
      <c r="B751" s="170"/>
    </row>
    <row r="752" spans="1:2" x14ac:dyDescent="0.25">
      <c r="A752" s="170"/>
      <c r="B752" s="170"/>
    </row>
    <row r="753" spans="1:2" x14ac:dyDescent="0.25">
      <c r="A753" s="170"/>
      <c r="B753" s="170"/>
    </row>
    <row r="754" spans="1:2" x14ac:dyDescent="0.25">
      <c r="A754" s="170"/>
      <c r="B754" s="170"/>
    </row>
    <row r="755" spans="1:2" x14ac:dyDescent="0.25">
      <c r="A755" s="170"/>
      <c r="B755" s="170"/>
    </row>
    <row r="756" spans="1:2" x14ac:dyDescent="0.25">
      <c r="A756" s="170"/>
      <c r="B756" s="170"/>
    </row>
    <row r="757" spans="1:2" x14ac:dyDescent="0.25">
      <c r="A757" s="170"/>
      <c r="B757" s="170"/>
    </row>
    <row r="758" spans="1:2" x14ac:dyDescent="0.25">
      <c r="A758" s="170"/>
      <c r="B758" s="170"/>
    </row>
    <row r="759" spans="1:2" x14ac:dyDescent="0.25">
      <c r="A759" s="170"/>
      <c r="B759" s="170"/>
    </row>
    <row r="760" spans="1:2" x14ac:dyDescent="0.25">
      <c r="A760" s="170"/>
      <c r="B760" s="170"/>
    </row>
    <row r="761" spans="1:2" x14ac:dyDescent="0.25">
      <c r="A761" s="170"/>
      <c r="B761" s="170"/>
    </row>
    <row r="762" spans="1:2" x14ac:dyDescent="0.25">
      <c r="A762" s="170"/>
      <c r="B762" s="170"/>
    </row>
    <row r="763" spans="1:2" x14ac:dyDescent="0.25">
      <c r="A763" s="170"/>
      <c r="B763" s="170"/>
    </row>
    <row r="764" spans="1:2" x14ac:dyDescent="0.25">
      <c r="A764" s="170"/>
      <c r="B764" s="170"/>
    </row>
    <row r="765" spans="1:2" x14ac:dyDescent="0.25">
      <c r="A765" s="170"/>
      <c r="B765" s="170"/>
    </row>
    <row r="766" spans="1:2" x14ac:dyDescent="0.25">
      <c r="A766" s="170"/>
      <c r="B766" s="170"/>
    </row>
    <row r="767" spans="1:2" x14ac:dyDescent="0.25">
      <c r="A767" s="170"/>
      <c r="B767" s="170"/>
    </row>
    <row r="768" spans="1:2" x14ac:dyDescent="0.25">
      <c r="A768" s="170"/>
      <c r="B768" s="170"/>
    </row>
    <row r="769" spans="1:2" x14ac:dyDescent="0.25">
      <c r="A769" s="170"/>
      <c r="B769" s="170"/>
    </row>
    <row r="770" spans="1:2" x14ac:dyDescent="0.25">
      <c r="A770" s="170"/>
      <c r="B770" s="170"/>
    </row>
    <row r="771" spans="1:2" x14ac:dyDescent="0.25">
      <c r="A771" s="170"/>
      <c r="B771" s="170"/>
    </row>
    <row r="772" spans="1:2" x14ac:dyDescent="0.25">
      <c r="A772" s="170"/>
      <c r="B772" s="170"/>
    </row>
    <row r="773" spans="1:2" x14ac:dyDescent="0.25">
      <c r="A773" s="170"/>
      <c r="B773" s="170"/>
    </row>
    <row r="774" spans="1:2" x14ac:dyDescent="0.25">
      <c r="A774" s="170"/>
      <c r="B774" s="170"/>
    </row>
    <row r="775" spans="1:2" x14ac:dyDescent="0.25">
      <c r="A775" s="170"/>
      <c r="B775" s="170"/>
    </row>
    <row r="776" spans="1:2" x14ac:dyDescent="0.25">
      <c r="A776" s="170"/>
      <c r="B776" s="170"/>
    </row>
    <row r="777" spans="1:2" x14ac:dyDescent="0.25">
      <c r="A777" s="170"/>
      <c r="B777" s="170"/>
    </row>
    <row r="778" spans="1:2" x14ac:dyDescent="0.25">
      <c r="A778" s="170"/>
      <c r="B778" s="170"/>
    </row>
    <row r="779" spans="1:2" x14ac:dyDescent="0.25">
      <c r="A779" s="170"/>
      <c r="B779" s="170"/>
    </row>
    <row r="780" spans="1:2" x14ac:dyDescent="0.25">
      <c r="A780" s="170"/>
      <c r="B780" s="170"/>
    </row>
    <row r="781" spans="1:2" x14ac:dyDescent="0.25">
      <c r="A781" s="170"/>
      <c r="B781" s="170"/>
    </row>
    <row r="782" spans="1:2" x14ac:dyDescent="0.25">
      <c r="A782" s="170"/>
      <c r="B782" s="170"/>
    </row>
    <row r="783" spans="1:2" x14ac:dyDescent="0.25">
      <c r="A783" s="170"/>
      <c r="B783" s="170"/>
    </row>
    <row r="784" spans="1:2" x14ac:dyDescent="0.25">
      <c r="A784" s="170"/>
      <c r="B784" s="170"/>
    </row>
    <row r="785" spans="1:2" x14ac:dyDescent="0.25">
      <c r="A785" s="170"/>
      <c r="B785" s="170"/>
    </row>
    <row r="786" spans="1:2" x14ac:dyDescent="0.25">
      <c r="A786" s="170"/>
      <c r="B786" s="170"/>
    </row>
    <row r="787" spans="1:2" x14ac:dyDescent="0.25">
      <c r="A787" s="170"/>
      <c r="B787" s="170"/>
    </row>
    <row r="788" spans="1:2" x14ac:dyDescent="0.25">
      <c r="A788" s="170"/>
      <c r="B788" s="170"/>
    </row>
    <row r="789" spans="1:2" x14ac:dyDescent="0.25">
      <c r="A789" s="170"/>
      <c r="B789" s="170"/>
    </row>
    <row r="790" spans="1:2" x14ac:dyDescent="0.25">
      <c r="A790" s="170"/>
      <c r="B790" s="170"/>
    </row>
    <row r="791" spans="1:2" x14ac:dyDescent="0.25">
      <c r="A791" s="170"/>
      <c r="B791" s="170"/>
    </row>
    <row r="792" spans="1:2" x14ac:dyDescent="0.25">
      <c r="A792" s="170"/>
      <c r="B792" s="170"/>
    </row>
    <row r="793" spans="1:2" x14ac:dyDescent="0.25">
      <c r="A793" s="170"/>
      <c r="B793" s="170"/>
    </row>
    <row r="794" spans="1:2" x14ac:dyDescent="0.25">
      <c r="A794" s="170"/>
      <c r="B794" s="170"/>
    </row>
    <row r="795" spans="1:2" x14ac:dyDescent="0.25">
      <c r="A795" s="170"/>
      <c r="B795" s="170"/>
    </row>
    <row r="796" spans="1:2" x14ac:dyDescent="0.25">
      <c r="A796" s="170"/>
      <c r="B796" s="170"/>
    </row>
    <row r="797" spans="1:2" x14ac:dyDescent="0.25">
      <c r="A797" s="170"/>
      <c r="B797" s="170"/>
    </row>
    <row r="798" spans="1:2" x14ac:dyDescent="0.25">
      <c r="A798" s="170"/>
      <c r="B798" s="170"/>
    </row>
    <row r="799" spans="1:2" x14ac:dyDescent="0.25">
      <c r="A799" s="170"/>
      <c r="B799" s="170"/>
    </row>
    <row r="800" spans="1:2" x14ac:dyDescent="0.25">
      <c r="A800" s="170"/>
      <c r="B800" s="170"/>
    </row>
    <row r="801" spans="1:2" x14ac:dyDescent="0.25">
      <c r="A801" s="170"/>
      <c r="B801" s="170"/>
    </row>
    <row r="802" spans="1:2" x14ac:dyDescent="0.25">
      <c r="A802" s="170"/>
      <c r="B802" s="170"/>
    </row>
    <row r="803" spans="1:2" x14ac:dyDescent="0.25">
      <c r="A803" s="170"/>
      <c r="B803" s="170"/>
    </row>
    <row r="804" spans="1:2" x14ac:dyDescent="0.25">
      <c r="A804" s="170"/>
      <c r="B804" s="170"/>
    </row>
    <row r="805" spans="1:2" x14ac:dyDescent="0.25">
      <c r="A805" s="170"/>
      <c r="B805" s="170"/>
    </row>
    <row r="806" spans="1:2" x14ac:dyDescent="0.25">
      <c r="A806" s="170"/>
      <c r="B806" s="170"/>
    </row>
    <row r="807" spans="1:2" x14ac:dyDescent="0.25">
      <c r="A807" s="170"/>
      <c r="B807" s="170"/>
    </row>
    <row r="808" spans="1:2" x14ac:dyDescent="0.25">
      <c r="A808" s="170"/>
      <c r="B808" s="170"/>
    </row>
    <row r="809" spans="1:2" x14ac:dyDescent="0.25">
      <c r="A809" s="170"/>
      <c r="B809" s="170"/>
    </row>
    <row r="810" spans="1:2" x14ac:dyDescent="0.25">
      <c r="A810" s="170"/>
      <c r="B810" s="170"/>
    </row>
    <row r="811" spans="1:2" x14ac:dyDescent="0.25">
      <c r="A811" s="170"/>
      <c r="B811" s="170"/>
    </row>
    <row r="812" spans="1:2" x14ac:dyDescent="0.25">
      <c r="A812" s="170"/>
      <c r="B812" s="170"/>
    </row>
    <row r="813" spans="1:2" x14ac:dyDescent="0.25">
      <c r="A813" s="170"/>
      <c r="B813" s="170"/>
    </row>
    <row r="814" spans="1:2" x14ac:dyDescent="0.25">
      <c r="A814" s="170"/>
      <c r="B814" s="170"/>
    </row>
    <row r="815" spans="1:2" x14ac:dyDescent="0.25">
      <c r="A815" s="170"/>
      <c r="B815" s="170"/>
    </row>
    <row r="816" spans="1:2" x14ac:dyDescent="0.25">
      <c r="A816" s="170"/>
      <c r="B816" s="170"/>
    </row>
    <row r="817" spans="1:2" x14ac:dyDescent="0.25">
      <c r="A817" s="170"/>
      <c r="B817" s="170"/>
    </row>
    <row r="818" spans="1:2" x14ac:dyDescent="0.25">
      <c r="A818" s="170"/>
      <c r="B818" s="170"/>
    </row>
    <row r="819" spans="1:2" x14ac:dyDescent="0.25">
      <c r="A819" s="170"/>
      <c r="B819" s="170"/>
    </row>
    <row r="820" spans="1:2" x14ac:dyDescent="0.25">
      <c r="A820" s="170"/>
      <c r="B820" s="170"/>
    </row>
    <row r="821" spans="1:2" x14ac:dyDescent="0.25">
      <c r="A821" s="170"/>
      <c r="B821" s="170"/>
    </row>
    <row r="822" spans="1:2" x14ac:dyDescent="0.25">
      <c r="A822" s="170"/>
      <c r="B822" s="170"/>
    </row>
    <row r="823" spans="1:2" x14ac:dyDescent="0.25">
      <c r="A823" s="170"/>
      <c r="B823" s="170"/>
    </row>
    <row r="824" spans="1:2" x14ac:dyDescent="0.25">
      <c r="A824" s="170"/>
      <c r="B824" s="170"/>
    </row>
    <row r="825" spans="1:2" x14ac:dyDescent="0.25">
      <c r="A825" s="170"/>
      <c r="B825" s="170"/>
    </row>
    <row r="826" spans="1:2" x14ac:dyDescent="0.25">
      <c r="A826" s="170"/>
      <c r="B826" s="170"/>
    </row>
    <row r="827" spans="1:2" x14ac:dyDescent="0.25">
      <c r="A827" s="170"/>
      <c r="B827" s="170"/>
    </row>
    <row r="828" spans="1:2" x14ac:dyDescent="0.25">
      <c r="A828" s="170"/>
      <c r="B828" s="170"/>
    </row>
    <row r="829" spans="1:2" x14ac:dyDescent="0.25">
      <c r="A829" s="170"/>
      <c r="B829" s="170"/>
    </row>
    <row r="830" spans="1:2" x14ac:dyDescent="0.25">
      <c r="A830" s="170"/>
      <c r="B830" s="170"/>
    </row>
    <row r="831" spans="1:2" x14ac:dyDescent="0.25">
      <c r="A831" s="170"/>
      <c r="B831" s="170"/>
    </row>
    <row r="832" spans="1:2" x14ac:dyDescent="0.25">
      <c r="A832" s="170"/>
      <c r="B832" s="170"/>
    </row>
    <row r="833" spans="1:2" x14ac:dyDescent="0.25">
      <c r="A833" s="170"/>
      <c r="B833" s="170"/>
    </row>
    <row r="834" spans="1:2" x14ac:dyDescent="0.25">
      <c r="A834" s="170"/>
      <c r="B834" s="170"/>
    </row>
    <row r="835" spans="1:2" x14ac:dyDescent="0.25">
      <c r="A835" s="170"/>
      <c r="B835" s="170"/>
    </row>
    <row r="836" spans="1:2" x14ac:dyDescent="0.25">
      <c r="A836" s="170"/>
      <c r="B836" s="170"/>
    </row>
    <row r="837" spans="1:2" x14ac:dyDescent="0.25">
      <c r="A837" s="170"/>
      <c r="B837" s="170"/>
    </row>
    <row r="838" spans="1:2" x14ac:dyDescent="0.25">
      <c r="A838" s="170"/>
      <c r="B838" s="170"/>
    </row>
    <row r="839" spans="1:2" x14ac:dyDescent="0.25">
      <c r="A839" s="170"/>
      <c r="B839" s="170"/>
    </row>
    <row r="840" spans="1:2" x14ac:dyDescent="0.25">
      <c r="A840" s="170"/>
      <c r="B840" s="170"/>
    </row>
    <row r="841" spans="1:2" x14ac:dyDescent="0.25">
      <c r="A841" s="170"/>
      <c r="B841" s="170"/>
    </row>
    <row r="842" spans="1:2" x14ac:dyDescent="0.25">
      <c r="A842" s="170"/>
      <c r="B842" s="170"/>
    </row>
    <row r="843" spans="1:2" x14ac:dyDescent="0.25">
      <c r="A843" s="170"/>
      <c r="B843" s="170"/>
    </row>
    <row r="844" spans="1:2" x14ac:dyDescent="0.25">
      <c r="A844" s="170"/>
      <c r="B844" s="170"/>
    </row>
    <row r="845" spans="1:2" x14ac:dyDescent="0.25">
      <c r="A845" s="170"/>
      <c r="B845" s="170"/>
    </row>
    <row r="846" spans="1:2" x14ac:dyDescent="0.25">
      <c r="A846" s="170"/>
      <c r="B846" s="170"/>
    </row>
    <row r="847" spans="1:2" x14ac:dyDescent="0.25">
      <c r="A847" s="170"/>
      <c r="B847" s="170"/>
    </row>
    <row r="848" spans="1:2" x14ac:dyDescent="0.25">
      <c r="A848" s="170"/>
      <c r="B848" s="170"/>
    </row>
    <row r="849" spans="1:2" x14ac:dyDescent="0.25">
      <c r="A849" s="170"/>
      <c r="B849" s="170"/>
    </row>
    <row r="850" spans="1:2" x14ac:dyDescent="0.25">
      <c r="A850" s="170"/>
      <c r="B850" s="170"/>
    </row>
    <row r="851" spans="1:2" x14ac:dyDescent="0.25">
      <c r="A851" s="170"/>
      <c r="B851" s="170"/>
    </row>
    <row r="852" spans="1:2" x14ac:dyDescent="0.25">
      <c r="A852" s="170"/>
      <c r="B852" s="170"/>
    </row>
    <row r="853" spans="1:2" x14ac:dyDescent="0.25">
      <c r="A853" s="170"/>
      <c r="B853" s="170"/>
    </row>
    <row r="854" spans="1:2" x14ac:dyDescent="0.25">
      <c r="A854" s="170"/>
      <c r="B854" s="170"/>
    </row>
    <row r="855" spans="1:2" x14ac:dyDescent="0.25">
      <c r="A855" s="170"/>
      <c r="B855" s="170"/>
    </row>
    <row r="856" spans="1:2" x14ac:dyDescent="0.25">
      <c r="A856" s="170"/>
      <c r="B856" s="170"/>
    </row>
    <row r="857" spans="1:2" x14ac:dyDescent="0.25">
      <c r="A857" s="170"/>
      <c r="B857" s="170"/>
    </row>
    <row r="858" spans="1:2" x14ac:dyDescent="0.25">
      <c r="A858" s="170"/>
      <c r="B858" s="170"/>
    </row>
    <row r="859" spans="1:2" x14ac:dyDescent="0.25">
      <c r="A859" s="170"/>
      <c r="B859" s="170"/>
    </row>
    <row r="860" spans="1:2" x14ac:dyDescent="0.25">
      <c r="A860" s="170"/>
      <c r="B860" s="170"/>
    </row>
    <row r="861" spans="1:2" x14ac:dyDescent="0.25">
      <c r="A861" s="170"/>
      <c r="B861" s="170"/>
    </row>
    <row r="862" spans="1:2" x14ac:dyDescent="0.25">
      <c r="A862" s="170"/>
      <c r="B862" s="170"/>
    </row>
    <row r="863" spans="1:2" x14ac:dyDescent="0.25">
      <c r="A863" s="170"/>
      <c r="B863" s="170"/>
    </row>
    <row r="864" spans="1:2" x14ac:dyDescent="0.25">
      <c r="A864" s="170"/>
      <c r="B864" s="170"/>
    </row>
    <row r="865" spans="1:2" x14ac:dyDescent="0.25">
      <c r="A865" s="170"/>
      <c r="B865" s="170"/>
    </row>
    <row r="866" spans="1:2" x14ac:dyDescent="0.25">
      <c r="A866" s="170"/>
      <c r="B866" s="170"/>
    </row>
    <row r="867" spans="1:2" x14ac:dyDescent="0.25">
      <c r="A867" s="170"/>
      <c r="B867" s="170"/>
    </row>
    <row r="868" spans="1:2" x14ac:dyDescent="0.25">
      <c r="A868" s="170"/>
      <c r="B868" s="170"/>
    </row>
    <row r="869" spans="1:2" x14ac:dyDescent="0.25">
      <c r="A869" s="170"/>
      <c r="B869" s="170"/>
    </row>
    <row r="870" spans="1:2" x14ac:dyDescent="0.25">
      <c r="A870" s="170"/>
      <c r="B870" s="170"/>
    </row>
    <row r="871" spans="1:2" x14ac:dyDescent="0.25">
      <c r="A871" s="170"/>
      <c r="B871" s="170"/>
    </row>
    <row r="872" spans="1:2" x14ac:dyDescent="0.25">
      <c r="A872" s="170"/>
      <c r="B872" s="170"/>
    </row>
    <row r="873" spans="1:2" x14ac:dyDescent="0.25">
      <c r="A873" s="170"/>
      <c r="B873" s="170"/>
    </row>
    <row r="874" spans="1:2" x14ac:dyDescent="0.25">
      <c r="A874" s="170"/>
      <c r="B874" s="170"/>
    </row>
    <row r="875" spans="1:2" x14ac:dyDescent="0.25">
      <c r="A875" s="170"/>
      <c r="B875" s="170"/>
    </row>
    <row r="876" spans="1:2" x14ac:dyDescent="0.25">
      <c r="A876" s="170"/>
      <c r="B876" s="170"/>
    </row>
    <row r="877" spans="1:2" x14ac:dyDescent="0.25">
      <c r="A877" s="170"/>
      <c r="B877" s="170"/>
    </row>
    <row r="878" spans="1:2" x14ac:dyDescent="0.25">
      <c r="A878" s="170"/>
      <c r="B878" s="170"/>
    </row>
    <row r="879" spans="1:2" x14ac:dyDescent="0.25">
      <c r="A879" s="170"/>
      <c r="B879" s="170"/>
    </row>
    <row r="880" spans="1:2" x14ac:dyDescent="0.25">
      <c r="A880" s="170"/>
      <c r="B880" s="170"/>
    </row>
    <row r="881" spans="1:2" x14ac:dyDescent="0.25">
      <c r="A881" s="170"/>
      <c r="B881" s="170"/>
    </row>
    <row r="882" spans="1:2" x14ac:dyDescent="0.25">
      <c r="A882" s="170"/>
      <c r="B882" s="170"/>
    </row>
    <row r="883" spans="1:2" x14ac:dyDescent="0.25">
      <c r="A883" s="170"/>
      <c r="B883" s="170"/>
    </row>
    <row r="884" spans="1:2" x14ac:dyDescent="0.25">
      <c r="A884" s="170"/>
      <c r="B884" s="170"/>
    </row>
    <row r="885" spans="1:2" x14ac:dyDescent="0.25">
      <c r="A885" s="170"/>
      <c r="B885" s="170"/>
    </row>
    <row r="886" spans="1:2" x14ac:dyDescent="0.25">
      <c r="A886" s="170"/>
      <c r="B886" s="170"/>
    </row>
    <row r="887" spans="1:2" x14ac:dyDescent="0.25">
      <c r="A887" s="170"/>
      <c r="B887" s="170"/>
    </row>
    <row r="888" spans="1:2" x14ac:dyDescent="0.25">
      <c r="A888" s="170"/>
      <c r="B888" s="170"/>
    </row>
    <row r="889" spans="1:2" x14ac:dyDescent="0.25">
      <c r="A889" s="170"/>
      <c r="B889" s="170"/>
    </row>
    <row r="890" spans="1:2" x14ac:dyDescent="0.25">
      <c r="A890" s="170"/>
      <c r="B890" s="170"/>
    </row>
    <row r="891" spans="1:2" x14ac:dyDescent="0.25">
      <c r="A891" s="170"/>
      <c r="B891" s="170"/>
    </row>
    <row r="892" spans="1:2" x14ac:dyDescent="0.25">
      <c r="A892" s="170"/>
      <c r="B892" s="170"/>
    </row>
    <row r="893" spans="1:2" x14ac:dyDescent="0.25">
      <c r="A893" s="170"/>
      <c r="B893" s="170"/>
    </row>
    <row r="894" spans="1:2" x14ac:dyDescent="0.25">
      <c r="A894" s="170"/>
      <c r="B894" s="170"/>
    </row>
    <row r="895" spans="1:2" x14ac:dyDescent="0.25">
      <c r="A895" s="170"/>
      <c r="B895" s="170"/>
    </row>
    <row r="896" spans="1:2" x14ac:dyDescent="0.25">
      <c r="A896" s="170"/>
      <c r="B896" s="170"/>
    </row>
    <row r="897" spans="1:2" x14ac:dyDescent="0.25">
      <c r="A897" s="170"/>
      <c r="B897" s="170"/>
    </row>
    <row r="898" spans="1:2" x14ac:dyDescent="0.25">
      <c r="A898" s="170"/>
      <c r="B898" s="170"/>
    </row>
    <row r="899" spans="1:2" x14ac:dyDescent="0.25">
      <c r="A899" s="170"/>
      <c r="B899" s="170"/>
    </row>
    <row r="900" spans="1:2" x14ac:dyDescent="0.25">
      <c r="A900" s="170"/>
      <c r="B900" s="170"/>
    </row>
    <row r="901" spans="1:2" x14ac:dyDescent="0.25">
      <c r="A901" s="170"/>
      <c r="B901" s="170"/>
    </row>
    <row r="902" spans="1:2" x14ac:dyDescent="0.25">
      <c r="A902" s="170"/>
      <c r="B902" s="170"/>
    </row>
    <row r="903" spans="1:2" x14ac:dyDescent="0.25">
      <c r="A903" s="170"/>
      <c r="B903" s="170"/>
    </row>
    <row r="904" spans="1:2" x14ac:dyDescent="0.25">
      <c r="A904" s="170"/>
      <c r="B904" s="170"/>
    </row>
    <row r="905" spans="1:2" x14ac:dyDescent="0.25">
      <c r="A905" s="170"/>
      <c r="B905" s="170"/>
    </row>
    <row r="906" spans="1:2" x14ac:dyDescent="0.25">
      <c r="A906" s="170"/>
      <c r="B906" s="170"/>
    </row>
    <row r="907" spans="1:2" x14ac:dyDescent="0.25">
      <c r="A907" s="170"/>
      <c r="B907" s="170"/>
    </row>
    <row r="908" spans="1:2" x14ac:dyDescent="0.25">
      <c r="A908" s="170"/>
      <c r="B908" s="170"/>
    </row>
    <row r="909" spans="1:2" x14ac:dyDescent="0.25">
      <c r="A909" s="170"/>
      <c r="B909" s="170"/>
    </row>
    <row r="910" spans="1:2" x14ac:dyDescent="0.25">
      <c r="A910" s="170"/>
      <c r="B910" s="170"/>
    </row>
    <row r="911" spans="1:2" x14ac:dyDescent="0.25">
      <c r="A911" s="170"/>
      <c r="B911" s="170"/>
    </row>
    <row r="912" spans="1:2" x14ac:dyDescent="0.25">
      <c r="A912" s="170"/>
      <c r="B912" s="170"/>
    </row>
    <row r="913" spans="1:2" x14ac:dyDescent="0.25">
      <c r="A913" s="170"/>
      <c r="B913" s="170"/>
    </row>
    <row r="914" spans="1:2" x14ac:dyDescent="0.25">
      <c r="A914" s="170"/>
      <c r="B914" s="170"/>
    </row>
    <row r="915" spans="1:2" x14ac:dyDescent="0.25">
      <c r="A915" s="170"/>
      <c r="B915" s="170"/>
    </row>
    <row r="916" spans="1:2" x14ac:dyDescent="0.25">
      <c r="A916" s="170"/>
      <c r="B916" s="170"/>
    </row>
    <row r="917" spans="1:2" x14ac:dyDescent="0.25">
      <c r="A917" s="170"/>
      <c r="B917" s="170"/>
    </row>
    <row r="918" spans="1:2" x14ac:dyDescent="0.25">
      <c r="A918" s="170"/>
      <c r="B918" s="170"/>
    </row>
    <row r="919" spans="1:2" x14ac:dyDescent="0.25">
      <c r="A919" s="170"/>
      <c r="B919" s="170"/>
    </row>
    <row r="920" spans="1:2" x14ac:dyDescent="0.25">
      <c r="A920" s="170"/>
      <c r="B920" s="170"/>
    </row>
    <row r="921" spans="1:2" x14ac:dyDescent="0.25">
      <c r="A921" s="170"/>
      <c r="B921" s="170"/>
    </row>
    <row r="922" spans="1:2" x14ac:dyDescent="0.25">
      <c r="A922" s="170"/>
      <c r="B922" s="170"/>
    </row>
    <row r="923" spans="1:2" x14ac:dyDescent="0.25">
      <c r="A923" s="170"/>
      <c r="B923" s="170"/>
    </row>
    <row r="924" spans="1:2" x14ac:dyDescent="0.25">
      <c r="A924" s="170"/>
      <c r="B924" s="170"/>
    </row>
    <row r="925" spans="1:2" x14ac:dyDescent="0.25">
      <c r="A925" s="170"/>
      <c r="B925" s="170"/>
    </row>
    <row r="926" spans="1:2" x14ac:dyDescent="0.25">
      <c r="A926" s="170"/>
      <c r="B926" s="170"/>
    </row>
    <row r="927" spans="1:2" x14ac:dyDescent="0.25">
      <c r="A927" s="170"/>
      <c r="B927" s="170"/>
    </row>
    <row r="928" spans="1:2" x14ac:dyDescent="0.25">
      <c r="A928" s="170"/>
      <c r="B928" s="170"/>
    </row>
    <row r="929" spans="1:2" x14ac:dyDescent="0.25">
      <c r="A929" s="170"/>
      <c r="B929" s="170"/>
    </row>
    <row r="930" spans="1:2" x14ac:dyDescent="0.25">
      <c r="A930" s="170"/>
      <c r="B930" s="170"/>
    </row>
    <row r="931" spans="1:2" x14ac:dyDescent="0.25">
      <c r="A931" s="170"/>
      <c r="B931" s="170"/>
    </row>
    <row r="932" spans="1:2" x14ac:dyDescent="0.25">
      <c r="A932" s="170"/>
      <c r="B932" s="170"/>
    </row>
    <row r="933" spans="1:2" x14ac:dyDescent="0.25">
      <c r="A933" s="170"/>
      <c r="B933" s="170"/>
    </row>
    <row r="934" spans="1:2" x14ac:dyDescent="0.25">
      <c r="A934" s="170"/>
      <c r="B934" s="170"/>
    </row>
    <row r="935" spans="1:2" x14ac:dyDescent="0.25">
      <c r="A935" s="170"/>
      <c r="B935" s="170"/>
    </row>
    <row r="936" spans="1:2" x14ac:dyDescent="0.25">
      <c r="A936" s="170"/>
      <c r="B936" s="170"/>
    </row>
    <row r="937" spans="1:2" x14ac:dyDescent="0.25">
      <c r="A937" s="170"/>
      <c r="B937" s="170"/>
    </row>
    <row r="938" spans="1:2" x14ac:dyDescent="0.25">
      <c r="A938" s="170"/>
      <c r="B938" s="170"/>
    </row>
    <row r="939" spans="1:2" x14ac:dyDescent="0.25">
      <c r="A939" s="170"/>
      <c r="B939" s="170"/>
    </row>
    <row r="940" spans="1:2" x14ac:dyDescent="0.25">
      <c r="A940" s="170"/>
      <c r="B940" s="170"/>
    </row>
    <row r="941" spans="1:2" x14ac:dyDescent="0.25">
      <c r="A941" s="170"/>
      <c r="B941" s="170"/>
    </row>
    <row r="942" spans="1:2" x14ac:dyDescent="0.25">
      <c r="A942" s="170"/>
      <c r="B942" s="170"/>
    </row>
    <row r="943" spans="1:2" x14ac:dyDescent="0.25">
      <c r="A943" s="170"/>
      <c r="B943" s="170"/>
    </row>
    <row r="944" spans="1:2" x14ac:dyDescent="0.25">
      <c r="A944" s="170"/>
      <c r="B944" s="170"/>
    </row>
    <row r="945" spans="1:2" x14ac:dyDescent="0.25">
      <c r="A945" s="170"/>
      <c r="B945" s="170"/>
    </row>
    <row r="946" spans="1:2" x14ac:dyDescent="0.25">
      <c r="A946" s="170"/>
      <c r="B946" s="170"/>
    </row>
    <row r="947" spans="1:2" x14ac:dyDescent="0.25">
      <c r="A947" s="170"/>
      <c r="B947" s="170"/>
    </row>
    <row r="948" spans="1:2" x14ac:dyDescent="0.25">
      <c r="A948" s="170"/>
      <c r="B948" s="170"/>
    </row>
    <row r="949" spans="1:2" x14ac:dyDescent="0.25">
      <c r="A949" s="170"/>
      <c r="B949" s="170"/>
    </row>
    <row r="950" spans="1:2" x14ac:dyDescent="0.25">
      <c r="A950" s="170"/>
      <c r="B950" s="170"/>
    </row>
    <row r="951" spans="1:2" x14ac:dyDescent="0.25">
      <c r="A951" s="170"/>
      <c r="B951" s="170"/>
    </row>
    <row r="952" spans="1:2" x14ac:dyDescent="0.25">
      <c r="A952" s="170"/>
      <c r="B952" s="170"/>
    </row>
    <row r="953" spans="1:2" x14ac:dyDescent="0.25">
      <c r="A953" s="170"/>
      <c r="B953" s="170"/>
    </row>
    <row r="954" spans="1:2" x14ac:dyDescent="0.25">
      <c r="A954" s="170"/>
      <c r="B954" s="170"/>
    </row>
    <row r="955" spans="1:2" x14ac:dyDescent="0.25">
      <c r="A955" s="170"/>
      <c r="B955" s="170"/>
    </row>
    <row r="956" spans="1:2" x14ac:dyDescent="0.25">
      <c r="A956" s="170"/>
      <c r="B956" s="170"/>
    </row>
    <row r="957" spans="1:2" x14ac:dyDescent="0.25">
      <c r="A957" s="170"/>
      <c r="B957" s="170"/>
    </row>
    <row r="958" spans="1:2" x14ac:dyDescent="0.25">
      <c r="A958" s="170"/>
      <c r="B958" s="170"/>
    </row>
    <row r="959" spans="1:2" x14ac:dyDescent="0.25">
      <c r="A959" s="170"/>
      <c r="B959" s="170"/>
    </row>
    <row r="960" spans="1:2" x14ac:dyDescent="0.25">
      <c r="A960" s="170"/>
      <c r="B960" s="170"/>
    </row>
    <row r="961" spans="1:2" x14ac:dyDescent="0.25">
      <c r="A961" s="170"/>
      <c r="B961" s="170"/>
    </row>
    <row r="962" spans="1:2" x14ac:dyDescent="0.25">
      <c r="A962" s="170"/>
      <c r="B962" s="170"/>
    </row>
    <row r="963" spans="1:2" x14ac:dyDescent="0.25">
      <c r="A963" s="170"/>
      <c r="B963" s="170"/>
    </row>
    <row r="964" spans="1:2" x14ac:dyDescent="0.25">
      <c r="A964" s="170"/>
      <c r="B964" s="170"/>
    </row>
    <row r="965" spans="1:2" x14ac:dyDescent="0.25">
      <c r="A965" s="170"/>
      <c r="B965" s="170"/>
    </row>
    <row r="966" spans="1:2" x14ac:dyDescent="0.25">
      <c r="A966" s="170"/>
      <c r="B966" s="170"/>
    </row>
    <row r="967" spans="1:2" x14ac:dyDescent="0.25">
      <c r="A967" s="170"/>
      <c r="B967" s="170"/>
    </row>
    <row r="968" spans="1:2" x14ac:dyDescent="0.25">
      <c r="A968" s="170"/>
      <c r="B968" s="170"/>
    </row>
    <row r="969" spans="1:2" x14ac:dyDescent="0.25">
      <c r="A969" s="170"/>
      <c r="B969" s="170"/>
    </row>
    <row r="970" spans="1:2" x14ac:dyDescent="0.25">
      <c r="A970" s="170"/>
      <c r="B970" s="170"/>
    </row>
    <row r="971" spans="1:2" x14ac:dyDescent="0.25">
      <c r="A971" s="170"/>
      <c r="B971" s="170"/>
    </row>
    <row r="972" spans="1:2" x14ac:dyDescent="0.25">
      <c r="A972" s="170"/>
      <c r="B972" s="170"/>
    </row>
    <row r="973" spans="1:2" x14ac:dyDescent="0.25">
      <c r="A973" s="170"/>
      <c r="B973" s="170"/>
    </row>
    <row r="974" spans="1:2" x14ac:dyDescent="0.25">
      <c r="A974" s="170"/>
      <c r="B974" s="170"/>
    </row>
    <row r="975" spans="1:2" x14ac:dyDescent="0.25">
      <c r="A975" s="170"/>
      <c r="B975" s="170"/>
    </row>
    <row r="976" spans="1:2" x14ac:dyDescent="0.25">
      <c r="A976" s="170"/>
      <c r="B976" s="170"/>
    </row>
    <row r="977" spans="1:2" x14ac:dyDescent="0.25">
      <c r="A977" s="170"/>
      <c r="B977" s="170"/>
    </row>
    <row r="978" spans="1:2" x14ac:dyDescent="0.25">
      <c r="A978" s="170"/>
      <c r="B978" s="170"/>
    </row>
    <row r="979" spans="1:2" x14ac:dyDescent="0.25">
      <c r="A979" s="170"/>
      <c r="B979" s="170"/>
    </row>
    <row r="980" spans="1:2" x14ac:dyDescent="0.25">
      <c r="A980" s="170"/>
      <c r="B980" s="170"/>
    </row>
    <row r="981" spans="1:2" x14ac:dyDescent="0.25">
      <c r="A981" s="170"/>
      <c r="B981" s="170"/>
    </row>
    <row r="982" spans="1:2" x14ac:dyDescent="0.25">
      <c r="A982" s="170"/>
      <c r="B982" s="170"/>
    </row>
    <row r="983" spans="1:2" x14ac:dyDescent="0.25">
      <c r="A983" s="170"/>
      <c r="B983" s="170"/>
    </row>
    <row r="984" spans="1:2" x14ac:dyDescent="0.25">
      <c r="A984" s="170"/>
      <c r="B984" s="170"/>
    </row>
    <row r="985" spans="1:2" x14ac:dyDescent="0.25">
      <c r="A985" s="170"/>
      <c r="B985" s="170"/>
    </row>
    <row r="986" spans="1:2" x14ac:dyDescent="0.25">
      <c r="A986" s="170"/>
      <c r="B986" s="170"/>
    </row>
    <row r="987" spans="1:2" x14ac:dyDescent="0.25">
      <c r="A987" s="170"/>
      <c r="B987" s="170"/>
    </row>
    <row r="988" spans="1:2" x14ac:dyDescent="0.25">
      <c r="A988" s="170"/>
      <c r="B988" s="170"/>
    </row>
    <row r="989" spans="1:2" x14ac:dyDescent="0.25">
      <c r="A989" s="170"/>
      <c r="B989" s="170"/>
    </row>
    <row r="990" spans="1:2" x14ac:dyDescent="0.25">
      <c r="A990" s="170"/>
      <c r="B990" s="170"/>
    </row>
    <row r="991" spans="1:2" x14ac:dyDescent="0.25">
      <c r="A991" s="170"/>
      <c r="B991" s="170"/>
    </row>
    <row r="992" spans="1:2" x14ac:dyDescent="0.25">
      <c r="A992" s="170"/>
      <c r="B992" s="170"/>
    </row>
    <row r="993" spans="1:2" x14ac:dyDescent="0.25">
      <c r="A993" s="170"/>
      <c r="B993" s="170"/>
    </row>
    <row r="994" spans="1:2" x14ac:dyDescent="0.25">
      <c r="A994" s="170"/>
      <c r="B994" s="170"/>
    </row>
    <row r="995" spans="1:2" x14ac:dyDescent="0.25">
      <c r="A995" s="170"/>
      <c r="B995" s="170"/>
    </row>
    <row r="996" spans="1:2" x14ac:dyDescent="0.25">
      <c r="A996" s="170"/>
      <c r="B996" s="170"/>
    </row>
    <row r="997" spans="1:2" x14ac:dyDescent="0.25">
      <c r="A997" s="170"/>
      <c r="B997" s="170"/>
    </row>
    <row r="998" spans="1:2" x14ac:dyDescent="0.25">
      <c r="A998" s="170"/>
      <c r="B998" s="170"/>
    </row>
    <row r="999" spans="1:2" x14ac:dyDescent="0.25">
      <c r="A999" s="170"/>
      <c r="B999" s="170"/>
    </row>
    <row r="1000" spans="1:2" x14ac:dyDescent="0.25">
      <c r="A1000" s="170"/>
      <c r="B1000" s="170"/>
    </row>
    <row r="1001" spans="1:2" x14ac:dyDescent="0.25">
      <c r="A1001" s="170"/>
      <c r="B1001" s="170"/>
    </row>
    <row r="1002" spans="1:2" x14ac:dyDescent="0.25">
      <c r="A1002" s="170"/>
      <c r="B1002" s="170"/>
    </row>
    <row r="1003" spans="1:2" x14ac:dyDescent="0.25">
      <c r="A1003" s="170"/>
      <c r="B1003" s="170"/>
    </row>
    <row r="1004" spans="1:2" x14ac:dyDescent="0.25">
      <c r="A1004" s="170"/>
      <c r="B1004" s="170"/>
    </row>
    <row r="1005" spans="1:2" x14ac:dyDescent="0.25">
      <c r="A1005" s="170"/>
      <c r="B1005" s="170"/>
    </row>
    <row r="1006" spans="1:2" x14ac:dyDescent="0.25">
      <c r="A1006" s="170"/>
      <c r="B1006" s="170"/>
    </row>
    <row r="1007" spans="1:2" x14ac:dyDescent="0.25">
      <c r="A1007" s="170"/>
      <c r="B1007" s="170"/>
    </row>
    <row r="1008" spans="1:2" x14ac:dyDescent="0.25">
      <c r="A1008" s="170"/>
      <c r="B1008" s="170"/>
    </row>
    <row r="1009" spans="1:2" x14ac:dyDescent="0.25">
      <c r="A1009" s="170"/>
      <c r="B1009" s="170"/>
    </row>
    <row r="1010" spans="1:2" x14ac:dyDescent="0.25">
      <c r="A1010" s="170"/>
      <c r="B1010" s="170"/>
    </row>
    <row r="1011" spans="1:2" x14ac:dyDescent="0.25">
      <c r="A1011" s="170"/>
      <c r="B1011" s="170"/>
    </row>
    <row r="1012" spans="1:2" x14ac:dyDescent="0.25">
      <c r="A1012" s="170"/>
      <c r="B1012" s="170"/>
    </row>
    <row r="1013" spans="1:2" x14ac:dyDescent="0.25">
      <c r="A1013" s="170"/>
      <c r="B1013" s="170"/>
    </row>
    <row r="1014" spans="1:2" x14ac:dyDescent="0.25">
      <c r="A1014" s="170"/>
      <c r="B1014" s="170"/>
    </row>
    <row r="1015" spans="1:2" x14ac:dyDescent="0.25">
      <c r="A1015" s="170"/>
      <c r="B1015" s="170"/>
    </row>
    <row r="1016" spans="1:2" x14ac:dyDescent="0.25">
      <c r="A1016" s="170"/>
      <c r="B1016" s="170"/>
    </row>
    <row r="1017" spans="1:2" x14ac:dyDescent="0.25">
      <c r="A1017" s="170"/>
      <c r="B1017" s="170"/>
    </row>
    <row r="1018" spans="1:2" x14ac:dyDescent="0.25">
      <c r="A1018" s="170"/>
      <c r="B1018" s="170"/>
    </row>
    <row r="1019" spans="1:2" x14ac:dyDescent="0.25">
      <c r="A1019" s="170"/>
      <c r="B1019" s="170"/>
    </row>
    <row r="1020" spans="1:2" x14ac:dyDescent="0.25">
      <c r="A1020" s="170"/>
      <c r="B1020" s="170"/>
    </row>
    <row r="1021" spans="1:2" x14ac:dyDescent="0.25">
      <c r="A1021" s="170"/>
      <c r="B1021" s="170"/>
    </row>
    <row r="1022" spans="1:2" x14ac:dyDescent="0.25">
      <c r="A1022" s="170"/>
      <c r="B1022" s="170"/>
    </row>
    <row r="1023" spans="1:2" x14ac:dyDescent="0.25">
      <c r="A1023" s="170"/>
      <c r="B1023" s="170"/>
    </row>
    <row r="1024" spans="1:2" x14ac:dyDescent="0.25">
      <c r="A1024" s="170"/>
      <c r="B1024" s="170"/>
    </row>
    <row r="1025" spans="1:2" x14ac:dyDescent="0.25">
      <c r="A1025" s="170"/>
      <c r="B1025" s="170"/>
    </row>
    <row r="1026" spans="1:2" x14ac:dyDescent="0.25">
      <c r="A1026" s="170"/>
      <c r="B1026" s="170"/>
    </row>
    <row r="1027" spans="1:2" x14ac:dyDescent="0.25">
      <c r="A1027" s="170"/>
      <c r="B1027" s="170"/>
    </row>
    <row r="1028" spans="1:2" x14ac:dyDescent="0.25">
      <c r="A1028" s="170"/>
      <c r="B1028" s="170"/>
    </row>
    <row r="1029" spans="1:2" x14ac:dyDescent="0.25">
      <c r="A1029" s="170"/>
      <c r="B1029" s="170"/>
    </row>
    <row r="1030" spans="1:2" x14ac:dyDescent="0.25">
      <c r="A1030" s="170"/>
      <c r="B1030" s="170"/>
    </row>
    <row r="1031" spans="1:2" x14ac:dyDescent="0.25">
      <c r="A1031" s="170"/>
      <c r="B1031" s="170"/>
    </row>
    <row r="1032" spans="1:2" x14ac:dyDescent="0.25">
      <c r="A1032" s="170"/>
      <c r="B1032" s="170"/>
    </row>
    <row r="1033" spans="1:2" x14ac:dyDescent="0.25">
      <c r="A1033" s="170"/>
      <c r="B1033" s="170"/>
    </row>
    <row r="1034" spans="1:2" x14ac:dyDescent="0.25">
      <c r="A1034" s="170"/>
      <c r="B1034" s="170"/>
    </row>
    <row r="1035" spans="1:2" x14ac:dyDescent="0.25">
      <c r="A1035" s="170"/>
      <c r="B1035" s="170"/>
    </row>
    <row r="1036" spans="1:2" x14ac:dyDescent="0.25">
      <c r="A1036" s="170"/>
      <c r="B1036" s="170"/>
    </row>
    <row r="1037" spans="1:2" x14ac:dyDescent="0.25">
      <c r="A1037" s="170"/>
      <c r="B1037" s="170"/>
    </row>
    <row r="1038" spans="1:2" x14ac:dyDescent="0.25">
      <c r="A1038" s="170"/>
      <c r="B1038" s="170"/>
    </row>
    <row r="1039" spans="1:2" x14ac:dyDescent="0.25">
      <c r="A1039" s="170"/>
      <c r="B1039" s="170"/>
    </row>
    <row r="1040" spans="1:2" x14ac:dyDescent="0.25">
      <c r="A1040" s="170"/>
      <c r="B1040" s="170"/>
    </row>
    <row r="1041" spans="1:2" x14ac:dyDescent="0.25">
      <c r="A1041" s="170"/>
      <c r="B1041" s="170"/>
    </row>
    <row r="1042" spans="1:2" x14ac:dyDescent="0.25">
      <c r="A1042" s="170"/>
      <c r="B1042" s="170"/>
    </row>
    <row r="1043" spans="1:2" x14ac:dyDescent="0.25">
      <c r="A1043" s="170"/>
      <c r="B1043" s="170"/>
    </row>
    <row r="1044" spans="1:2" x14ac:dyDescent="0.25">
      <c r="A1044" s="170"/>
      <c r="B1044" s="170"/>
    </row>
    <row r="1045" spans="1:2" x14ac:dyDescent="0.25">
      <c r="A1045" s="170"/>
      <c r="B1045" s="170"/>
    </row>
    <row r="1046" spans="1:2" x14ac:dyDescent="0.25">
      <c r="A1046" s="170"/>
      <c r="B1046" s="170"/>
    </row>
    <row r="1047" spans="1:2" x14ac:dyDescent="0.25">
      <c r="A1047" s="170"/>
      <c r="B1047" s="170"/>
    </row>
    <row r="1048" spans="1:2" x14ac:dyDescent="0.25">
      <c r="A1048" s="170"/>
      <c r="B1048" s="170"/>
    </row>
    <row r="1049" spans="1:2" x14ac:dyDescent="0.25">
      <c r="A1049" s="170"/>
      <c r="B1049" s="170"/>
    </row>
    <row r="1050" spans="1:2" x14ac:dyDescent="0.25">
      <c r="A1050" s="170"/>
      <c r="B1050" s="170"/>
    </row>
    <row r="1051" spans="1:2" x14ac:dyDescent="0.25">
      <c r="A1051" s="170"/>
      <c r="B1051" s="170"/>
    </row>
    <row r="1052" spans="1:2" x14ac:dyDescent="0.25">
      <c r="A1052" s="170"/>
      <c r="B1052" s="170"/>
    </row>
    <row r="1053" spans="1:2" x14ac:dyDescent="0.25">
      <c r="A1053" s="170"/>
      <c r="B1053" s="170"/>
    </row>
    <row r="1054" spans="1:2" x14ac:dyDescent="0.25">
      <c r="A1054" s="170"/>
      <c r="B1054" s="170"/>
    </row>
    <row r="1055" spans="1:2" x14ac:dyDescent="0.25">
      <c r="A1055" s="170"/>
      <c r="B1055" s="170"/>
    </row>
    <row r="1056" spans="1:2" x14ac:dyDescent="0.25">
      <c r="A1056" s="170"/>
      <c r="B1056" s="170"/>
    </row>
    <row r="1057" spans="1:2" x14ac:dyDescent="0.25">
      <c r="A1057" s="170"/>
      <c r="B1057" s="170"/>
    </row>
    <row r="1058" spans="1:2" x14ac:dyDescent="0.25">
      <c r="A1058" s="170"/>
      <c r="B1058" s="170"/>
    </row>
    <row r="1059" spans="1:2" x14ac:dyDescent="0.25">
      <c r="A1059" s="170"/>
      <c r="B1059" s="170"/>
    </row>
    <row r="1060" spans="1:2" x14ac:dyDescent="0.25">
      <c r="A1060" s="170"/>
      <c r="B1060" s="170"/>
    </row>
    <row r="1061" spans="1:2" x14ac:dyDescent="0.25">
      <c r="A1061" s="170"/>
      <c r="B1061" s="170"/>
    </row>
    <row r="1062" spans="1:2" x14ac:dyDescent="0.25">
      <c r="A1062" s="170"/>
      <c r="B1062" s="170"/>
    </row>
    <row r="1063" spans="1:2" x14ac:dyDescent="0.25">
      <c r="A1063" s="170"/>
      <c r="B1063" s="170"/>
    </row>
    <row r="1064" spans="1:2" x14ac:dyDescent="0.25">
      <c r="A1064" s="170"/>
      <c r="B1064" s="170"/>
    </row>
    <row r="1065" spans="1:2" x14ac:dyDescent="0.25">
      <c r="A1065" s="170"/>
      <c r="B1065" s="170"/>
    </row>
    <row r="1066" spans="1:2" x14ac:dyDescent="0.25">
      <c r="A1066" s="170"/>
      <c r="B1066" s="170"/>
    </row>
    <row r="1067" spans="1:2" x14ac:dyDescent="0.25">
      <c r="A1067" s="170"/>
      <c r="B1067" s="170"/>
    </row>
    <row r="1068" spans="1:2" x14ac:dyDescent="0.25">
      <c r="A1068" s="170"/>
      <c r="B1068" s="170"/>
    </row>
    <row r="1069" spans="1:2" x14ac:dyDescent="0.25">
      <c r="A1069" s="170"/>
      <c r="B1069" s="170"/>
    </row>
    <row r="1070" spans="1:2" x14ac:dyDescent="0.25">
      <c r="A1070" s="170"/>
      <c r="B1070" s="170"/>
    </row>
    <row r="1071" spans="1:2" x14ac:dyDescent="0.25">
      <c r="A1071" s="170"/>
      <c r="B1071" s="170"/>
    </row>
    <row r="1072" spans="1:2" x14ac:dyDescent="0.25">
      <c r="A1072" s="170"/>
      <c r="B1072" s="170"/>
    </row>
    <row r="1073" spans="1:2" x14ac:dyDescent="0.25">
      <c r="A1073" s="170"/>
      <c r="B1073" s="170"/>
    </row>
    <row r="1074" spans="1:2" x14ac:dyDescent="0.25">
      <c r="A1074" s="170"/>
      <c r="B1074" s="170"/>
    </row>
    <row r="1075" spans="1:2" x14ac:dyDescent="0.25">
      <c r="A1075" s="170"/>
      <c r="B1075" s="170"/>
    </row>
    <row r="1076" spans="1:2" x14ac:dyDescent="0.25">
      <c r="A1076" s="170"/>
      <c r="B1076" s="170"/>
    </row>
    <row r="1077" spans="1:2" x14ac:dyDescent="0.25">
      <c r="A1077" s="170"/>
      <c r="B1077" s="170"/>
    </row>
    <row r="1078" spans="1:2" x14ac:dyDescent="0.25">
      <c r="A1078" s="170"/>
      <c r="B1078" s="170"/>
    </row>
    <row r="1079" spans="1:2" x14ac:dyDescent="0.25">
      <c r="A1079" s="170"/>
      <c r="B1079" s="170"/>
    </row>
    <row r="1080" spans="1:2" x14ac:dyDescent="0.25">
      <c r="A1080" s="170"/>
      <c r="B1080" s="170"/>
    </row>
    <row r="1081" spans="1:2" x14ac:dyDescent="0.25">
      <c r="A1081" s="170"/>
      <c r="B1081" s="170"/>
    </row>
    <row r="1082" spans="1:2" x14ac:dyDescent="0.25">
      <c r="A1082" s="170"/>
      <c r="B1082" s="170"/>
    </row>
    <row r="1083" spans="1:2" x14ac:dyDescent="0.25">
      <c r="A1083" s="170"/>
      <c r="B1083" s="170"/>
    </row>
    <row r="1084" spans="1:2" x14ac:dyDescent="0.25">
      <c r="A1084" s="170"/>
      <c r="B1084" s="170"/>
    </row>
    <row r="1085" spans="1:2" x14ac:dyDescent="0.25">
      <c r="A1085" s="170"/>
      <c r="B1085" s="170"/>
    </row>
    <row r="1086" spans="1:2" x14ac:dyDescent="0.25">
      <c r="A1086" s="170"/>
      <c r="B1086" s="170"/>
    </row>
    <row r="1087" spans="1:2" x14ac:dyDescent="0.25">
      <c r="A1087" s="170"/>
      <c r="B1087" s="170"/>
    </row>
    <row r="1088" spans="1:2" x14ac:dyDescent="0.25">
      <c r="A1088" s="170"/>
      <c r="B1088" s="170"/>
    </row>
    <row r="1089" spans="1:2" x14ac:dyDescent="0.25">
      <c r="A1089" s="170"/>
      <c r="B1089" s="170"/>
    </row>
    <row r="1090" spans="1:2" x14ac:dyDescent="0.25">
      <c r="A1090" s="170"/>
      <c r="B1090" s="170"/>
    </row>
    <row r="1091" spans="1:2" x14ac:dyDescent="0.25">
      <c r="A1091" s="170"/>
      <c r="B1091" s="170"/>
    </row>
    <row r="1092" spans="1:2" x14ac:dyDescent="0.25">
      <c r="A1092" s="170"/>
      <c r="B1092" s="170"/>
    </row>
    <row r="1093" spans="1:2" x14ac:dyDescent="0.25">
      <c r="A1093" s="170"/>
      <c r="B1093" s="170"/>
    </row>
    <row r="1094" spans="1:2" x14ac:dyDescent="0.25">
      <c r="A1094" s="170"/>
      <c r="B1094" s="170"/>
    </row>
    <row r="1095" spans="1:2" x14ac:dyDescent="0.25">
      <c r="A1095" s="170"/>
      <c r="B1095" s="170"/>
    </row>
    <row r="1096" spans="1:2" x14ac:dyDescent="0.25">
      <c r="A1096" s="170"/>
      <c r="B1096" s="170"/>
    </row>
    <row r="1097" spans="1:2" x14ac:dyDescent="0.25">
      <c r="A1097" s="170"/>
      <c r="B1097" s="170"/>
    </row>
    <row r="1098" spans="1:2" x14ac:dyDescent="0.25">
      <c r="A1098" s="170"/>
      <c r="B1098" s="170"/>
    </row>
    <row r="1099" spans="1:2" x14ac:dyDescent="0.25">
      <c r="A1099" s="170"/>
      <c r="B1099" s="170"/>
    </row>
    <row r="1100" spans="1:2" x14ac:dyDescent="0.25">
      <c r="A1100" s="170"/>
      <c r="B1100" s="170"/>
    </row>
    <row r="1101" spans="1:2" x14ac:dyDescent="0.25">
      <c r="A1101" s="170"/>
      <c r="B1101" s="170"/>
    </row>
    <row r="1102" spans="1:2" x14ac:dyDescent="0.25">
      <c r="A1102" s="170"/>
      <c r="B1102" s="170"/>
    </row>
    <row r="1103" spans="1:2" x14ac:dyDescent="0.25">
      <c r="A1103" s="170"/>
      <c r="B1103" s="170"/>
    </row>
    <row r="1104" spans="1:2" x14ac:dyDescent="0.25">
      <c r="A1104" s="170"/>
      <c r="B1104" s="170"/>
    </row>
    <row r="1105" spans="1:2" x14ac:dyDescent="0.25">
      <c r="A1105" s="170"/>
      <c r="B1105" s="170"/>
    </row>
    <row r="1106" spans="1:2" x14ac:dyDescent="0.25">
      <c r="A1106" s="170"/>
      <c r="B1106" s="170"/>
    </row>
    <row r="1107" spans="1:2" x14ac:dyDescent="0.25">
      <c r="A1107" s="170"/>
      <c r="B1107" s="170"/>
    </row>
    <row r="1108" spans="1:2" x14ac:dyDescent="0.25">
      <c r="A1108" s="170"/>
      <c r="B1108" s="170"/>
    </row>
    <row r="1109" spans="1:2" x14ac:dyDescent="0.25">
      <c r="A1109" s="170"/>
      <c r="B1109" s="170"/>
    </row>
    <row r="1110" spans="1:2" x14ac:dyDescent="0.25">
      <c r="A1110" s="170"/>
      <c r="B1110" s="170"/>
    </row>
    <row r="1111" spans="1:2" x14ac:dyDescent="0.25">
      <c r="A1111" s="170"/>
      <c r="B1111" s="170"/>
    </row>
    <row r="1112" spans="1:2" x14ac:dyDescent="0.25">
      <c r="A1112" s="170"/>
      <c r="B1112" s="170"/>
    </row>
    <row r="1113" spans="1:2" x14ac:dyDescent="0.25">
      <c r="A1113" s="170"/>
      <c r="B1113" s="170"/>
    </row>
    <row r="1114" spans="1:2" x14ac:dyDescent="0.25">
      <c r="A1114" s="170"/>
      <c r="B1114" s="170"/>
    </row>
    <row r="1115" spans="1:2" x14ac:dyDescent="0.25">
      <c r="A1115" s="170"/>
      <c r="B1115" s="170"/>
    </row>
    <row r="1116" spans="1:2" x14ac:dyDescent="0.25">
      <c r="A1116" s="170"/>
      <c r="B1116" s="170"/>
    </row>
    <row r="1117" spans="1:2" x14ac:dyDescent="0.25">
      <c r="A1117" s="170"/>
      <c r="B1117" s="170"/>
    </row>
    <row r="1118" spans="1:2" x14ac:dyDescent="0.25">
      <c r="A1118" s="170"/>
      <c r="B1118" s="170"/>
    </row>
    <row r="1119" spans="1:2" x14ac:dyDescent="0.25">
      <c r="A1119" s="170"/>
      <c r="B1119" s="170"/>
    </row>
    <row r="1120" spans="1:2" x14ac:dyDescent="0.25">
      <c r="A1120" s="170"/>
      <c r="B1120" s="170"/>
    </row>
    <row r="1121" spans="1:2" x14ac:dyDescent="0.25">
      <c r="A1121" s="170"/>
      <c r="B1121" s="170"/>
    </row>
    <row r="1122" spans="1:2" x14ac:dyDescent="0.25">
      <c r="A1122" s="170"/>
      <c r="B1122" s="170"/>
    </row>
    <row r="1123" spans="1:2" x14ac:dyDescent="0.25">
      <c r="A1123" s="170"/>
      <c r="B1123" s="170"/>
    </row>
    <row r="1124" spans="1:2" x14ac:dyDescent="0.25">
      <c r="A1124" s="170"/>
      <c r="B1124" s="170"/>
    </row>
    <row r="1125" spans="1:2" x14ac:dyDescent="0.25">
      <c r="A1125" s="170"/>
      <c r="B1125" s="170"/>
    </row>
    <row r="1126" spans="1:2" x14ac:dyDescent="0.25">
      <c r="A1126" s="170"/>
      <c r="B1126" s="170"/>
    </row>
    <row r="1127" spans="1:2" x14ac:dyDescent="0.25">
      <c r="A1127" s="170"/>
      <c r="B1127" s="170"/>
    </row>
    <row r="1128" spans="1:2" x14ac:dyDescent="0.25">
      <c r="A1128" s="170"/>
      <c r="B1128" s="170"/>
    </row>
    <row r="1129" spans="1:2" x14ac:dyDescent="0.25">
      <c r="A1129" s="170"/>
      <c r="B1129" s="170"/>
    </row>
    <row r="1130" spans="1:2" x14ac:dyDescent="0.25">
      <c r="A1130" s="170"/>
      <c r="B1130" s="170"/>
    </row>
    <row r="1131" spans="1:2" x14ac:dyDescent="0.25">
      <c r="A1131" s="170"/>
      <c r="B1131" s="170"/>
    </row>
    <row r="1132" spans="1:2" x14ac:dyDescent="0.25">
      <c r="A1132" s="170"/>
      <c r="B1132" s="170"/>
    </row>
    <row r="1133" spans="1:2" x14ac:dyDescent="0.25">
      <c r="A1133" s="170"/>
      <c r="B1133" s="170"/>
    </row>
    <row r="1134" spans="1:2" x14ac:dyDescent="0.25">
      <c r="A1134" s="170"/>
      <c r="B1134" s="170"/>
    </row>
    <row r="1135" spans="1:2" x14ac:dyDescent="0.25">
      <c r="A1135" s="170"/>
      <c r="B1135" s="170"/>
    </row>
    <row r="1136" spans="1:2" x14ac:dyDescent="0.25">
      <c r="A1136" s="170"/>
      <c r="B1136" s="170"/>
    </row>
    <row r="1137" spans="1:2" x14ac:dyDescent="0.25">
      <c r="A1137" s="170"/>
      <c r="B1137" s="170"/>
    </row>
    <row r="1138" spans="1:2" x14ac:dyDescent="0.25">
      <c r="A1138" s="170"/>
      <c r="B1138" s="170"/>
    </row>
    <row r="1139" spans="1:2" x14ac:dyDescent="0.25">
      <c r="A1139" s="170"/>
      <c r="B1139" s="170"/>
    </row>
    <row r="1140" spans="1:2" x14ac:dyDescent="0.25">
      <c r="A1140" s="170"/>
      <c r="B1140" s="170"/>
    </row>
    <row r="1141" spans="1:2" x14ac:dyDescent="0.25">
      <c r="A1141" s="170"/>
      <c r="B1141" s="170"/>
    </row>
    <row r="1142" spans="1:2" x14ac:dyDescent="0.25">
      <c r="A1142" s="170"/>
      <c r="B1142" s="170"/>
    </row>
    <row r="1143" spans="1:2" x14ac:dyDescent="0.25">
      <c r="A1143" s="170"/>
      <c r="B1143" s="170"/>
    </row>
    <row r="1144" spans="1:2" x14ac:dyDescent="0.25">
      <c r="A1144" s="170"/>
      <c r="B1144" s="170"/>
    </row>
    <row r="1145" spans="1:2" x14ac:dyDescent="0.25">
      <c r="A1145" s="170"/>
      <c r="B1145" s="170"/>
    </row>
    <row r="1146" spans="1:2" x14ac:dyDescent="0.25">
      <c r="A1146" s="170"/>
      <c r="B1146" s="170"/>
    </row>
    <row r="1147" spans="1:2" x14ac:dyDescent="0.25">
      <c r="A1147" s="170"/>
      <c r="B1147" s="170"/>
    </row>
    <row r="1148" spans="1:2" x14ac:dyDescent="0.25">
      <c r="A1148" s="170"/>
      <c r="B1148" s="170"/>
    </row>
    <row r="1149" spans="1:2" x14ac:dyDescent="0.25">
      <c r="A1149" s="170"/>
      <c r="B1149" s="170"/>
    </row>
    <row r="1150" spans="1:2" x14ac:dyDescent="0.25">
      <c r="A1150" s="170"/>
      <c r="B1150" s="170"/>
    </row>
    <row r="1151" spans="1:2" x14ac:dyDescent="0.25">
      <c r="A1151" s="170"/>
      <c r="B1151" s="170"/>
    </row>
    <row r="1152" spans="1:2" x14ac:dyDescent="0.25">
      <c r="A1152" s="170"/>
      <c r="B1152" s="170"/>
    </row>
    <row r="1153" spans="1:2" x14ac:dyDescent="0.25">
      <c r="A1153" s="170"/>
      <c r="B1153" s="170"/>
    </row>
    <row r="1154" spans="1:2" x14ac:dyDescent="0.25">
      <c r="A1154" s="170"/>
      <c r="B1154" s="170"/>
    </row>
    <row r="1155" spans="1:2" x14ac:dyDescent="0.25">
      <c r="A1155" s="170"/>
      <c r="B1155" s="170"/>
    </row>
    <row r="1156" spans="1:2" x14ac:dyDescent="0.25">
      <c r="A1156" s="170"/>
      <c r="B1156" s="170"/>
    </row>
    <row r="1157" spans="1:2" x14ac:dyDescent="0.25">
      <c r="A1157" s="170"/>
      <c r="B1157" s="170"/>
    </row>
    <row r="1158" spans="1:2" x14ac:dyDescent="0.25">
      <c r="A1158" s="170"/>
      <c r="B1158" s="170"/>
    </row>
    <row r="1159" spans="1:2" x14ac:dyDescent="0.25">
      <c r="A1159" s="170"/>
      <c r="B1159" s="170"/>
    </row>
    <row r="1160" spans="1:2" x14ac:dyDescent="0.25">
      <c r="A1160" s="170"/>
      <c r="B1160" s="170"/>
    </row>
    <row r="1161" spans="1:2" x14ac:dyDescent="0.25">
      <c r="A1161" s="170"/>
      <c r="B1161" s="170"/>
    </row>
    <row r="1162" spans="1:2" x14ac:dyDescent="0.25">
      <c r="A1162" s="170"/>
      <c r="B1162" s="170"/>
    </row>
    <row r="1163" spans="1:2" x14ac:dyDescent="0.25">
      <c r="A1163" s="170"/>
      <c r="B1163" s="170"/>
    </row>
    <row r="1164" spans="1:2" x14ac:dyDescent="0.25">
      <c r="A1164" s="170"/>
      <c r="B1164" s="170"/>
    </row>
    <row r="1165" spans="1:2" x14ac:dyDescent="0.25">
      <c r="A1165" s="170"/>
      <c r="B1165" s="170"/>
    </row>
    <row r="1166" spans="1:2" x14ac:dyDescent="0.25">
      <c r="A1166" s="170"/>
      <c r="B1166" s="170"/>
    </row>
    <row r="1167" spans="1:2" x14ac:dyDescent="0.25">
      <c r="A1167" s="170"/>
      <c r="B1167" s="170"/>
    </row>
    <row r="1168" spans="1:2" x14ac:dyDescent="0.25">
      <c r="A1168" s="170"/>
      <c r="B1168" s="170"/>
    </row>
    <row r="1169" spans="1:2" x14ac:dyDescent="0.25">
      <c r="A1169" s="170"/>
      <c r="B1169" s="170"/>
    </row>
    <row r="1170" spans="1:2" x14ac:dyDescent="0.25">
      <c r="A1170" s="170"/>
      <c r="B1170" s="170"/>
    </row>
    <row r="1171" spans="1:2" x14ac:dyDescent="0.25">
      <c r="A1171" s="170"/>
      <c r="B1171" s="170"/>
    </row>
    <row r="1172" spans="1:2" x14ac:dyDescent="0.25">
      <c r="A1172" s="170"/>
      <c r="B1172" s="170"/>
    </row>
    <row r="1173" spans="1:2" x14ac:dyDescent="0.25">
      <c r="A1173" s="170"/>
      <c r="B1173" s="170"/>
    </row>
    <row r="1174" spans="1:2" x14ac:dyDescent="0.25">
      <c r="A1174" s="170"/>
      <c r="B1174" s="170"/>
    </row>
    <row r="1175" spans="1:2" x14ac:dyDescent="0.25">
      <c r="A1175" s="170"/>
      <c r="B1175" s="170"/>
    </row>
    <row r="1176" spans="1:2" x14ac:dyDescent="0.25">
      <c r="A1176" s="170"/>
      <c r="B1176" s="170"/>
    </row>
    <row r="1177" spans="1:2" x14ac:dyDescent="0.25">
      <c r="A1177" s="170"/>
      <c r="B1177" s="170"/>
    </row>
    <row r="1178" spans="1:2" x14ac:dyDescent="0.25">
      <c r="A1178" s="170"/>
      <c r="B1178" s="170"/>
    </row>
    <row r="1179" spans="1:2" x14ac:dyDescent="0.25">
      <c r="A1179" s="170"/>
      <c r="B1179" s="170"/>
    </row>
    <row r="1180" spans="1:2" x14ac:dyDescent="0.25">
      <c r="A1180" s="170"/>
      <c r="B1180" s="170"/>
    </row>
    <row r="1181" spans="1:2" x14ac:dyDescent="0.25">
      <c r="A1181" s="170"/>
      <c r="B1181" s="170"/>
    </row>
    <row r="1182" spans="1:2" x14ac:dyDescent="0.25">
      <c r="A1182" s="170"/>
      <c r="B1182" s="170"/>
    </row>
    <row r="1183" spans="1:2" x14ac:dyDescent="0.25">
      <c r="A1183" s="170"/>
      <c r="B1183" s="170"/>
    </row>
    <row r="1184" spans="1:2" x14ac:dyDescent="0.25">
      <c r="A1184" s="170"/>
      <c r="B1184" s="170"/>
    </row>
    <row r="1185" spans="1:2" x14ac:dyDescent="0.25">
      <c r="A1185" s="170"/>
      <c r="B1185" s="170"/>
    </row>
    <row r="1186" spans="1:2" x14ac:dyDescent="0.25">
      <c r="A1186" s="170"/>
      <c r="B1186" s="170"/>
    </row>
    <row r="1187" spans="1:2" x14ac:dyDescent="0.25">
      <c r="A1187" s="170"/>
      <c r="B1187" s="170"/>
    </row>
    <row r="1188" spans="1:2" x14ac:dyDescent="0.25">
      <c r="A1188" s="170"/>
      <c r="B1188" s="170"/>
    </row>
    <row r="1189" spans="1:2" x14ac:dyDescent="0.25">
      <c r="A1189" s="170"/>
      <c r="B1189" s="170"/>
    </row>
    <row r="1190" spans="1:2" x14ac:dyDescent="0.25">
      <c r="A1190" s="170"/>
      <c r="B1190" s="170"/>
    </row>
    <row r="1191" spans="1:2" x14ac:dyDescent="0.25">
      <c r="A1191" s="170"/>
      <c r="B1191" s="170"/>
    </row>
    <row r="1192" spans="1:2" x14ac:dyDescent="0.25">
      <c r="A1192" s="170"/>
      <c r="B1192" s="170"/>
    </row>
    <row r="1193" spans="1:2" x14ac:dyDescent="0.25">
      <c r="A1193" s="170"/>
      <c r="B1193" s="170"/>
    </row>
    <row r="1194" spans="1:2" x14ac:dyDescent="0.25">
      <c r="A1194" s="170"/>
      <c r="B1194" s="170"/>
    </row>
    <row r="1195" spans="1:2" x14ac:dyDescent="0.25">
      <c r="A1195" s="170"/>
      <c r="B1195" s="170"/>
    </row>
    <row r="1196" spans="1:2" x14ac:dyDescent="0.25">
      <c r="A1196" s="170"/>
      <c r="B1196" s="170"/>
    </row>
    <row r="1197" spans="1:2" x14ac:dyDescent="0.25">
      <c r="A1197" s="170"/>
      <c r="B1197" s="170"/>
    </row>
    <row r="1198" spans="1:2" x14ac:dyDescent="0.25">
      <c r="A1198" s="170"/>
      <c r="B1198" s="170"/>
    </row>
    <row r="1199" spans="1:2" x14ac:dyDescent="0.25">
      <c r="A1199" s="170"/>
      <c r="B1199" s="170"/>
    </row>
    <row r="1200" spans="1:2" x14ac:dyDescent="0.25">
      <c r="A1200" s="170"/>
      <c r="B1200" s="170"/>
    </row>
    <row r="1201" spans="1:2" x14ac:dyDescent="0.25">
      <c r="A1201" s="170"/>
      <c r="B1201" s="170"/>
    </row>
    <row r="1202" spans="1:2" x14ac:dyDescent="0.25">
      <c r="A1202" s="170"/>
      <c r="B1202" s="170"/>
    </row>
    <row r="1203" spans="1:2" x14ac:dyDescent="0.25">
      <c r="A1203" s="170"/>
      <c r="B1203" s="170"/>
    </row>
    <row r="1204" spans="1:2" x14ac:dyDescent="0.25">
      <c r="A1204" s="170"/>
      <c r="B1204" s="170"/>
    </row>
    <row r="1205" spans="1:2" x14ac:dyDescent="0.25">
      <c r="A1205" s="170"/>
      <c r="B1205" s="170"/>
    </row>
    <row r="1206" spans="1:2" x14ac:dyDescent="0.25">
      <c r="A1206" s="170"/>
      <c r="B1206" s="170"/>
    </row>
    <row r="1207" spans="1:2" x14ac:dyDescent="0.25">
      <c r="A1207" s="170"/>
      <c r="B1207" s="170"/>
    </row>
    <row r="1208" spans="1:2" x14ac:dyDescent="0.25">
      <c r="A1208" s="170"/>
      <c r="B1208" s="170"/>
    </row>
    <row r="1209" spans="1:2" x14ac:dyDescent="0.25">
      <c r="A1209" s="170"/>
      <c r="B1209" s="170"/>
    </row>
    <row r="1210" spans="1:2" x14ac:dyDescent="0.25">
      <c r="A1210" s="170"/>
      <c r="B1210" s="170"/>
    </row>
    <row r="1211" spans="1:2" x14ac:dyDescent="0.25">
      <c r="A1211" s="170"/>
      <c r="B1211" s="170"/>
    </row>
    <row r="1212" spans="1:2" x14ac:dyDescent="0.25">
      <c r="A1212" s="170"/>
      <c r="B1212" s="170"/>
    </row>
    <row r="1213" spans="1:2" x14ac:dyDescent="0.25">
      <c r="A1213" s="170"/>
      <c r="B1213" s="170"/>
    </row>
    <row r="1214" spans="1:2" x14ac:dyDescent="0.25">
      <c r="A1214" s="170"/>
      <c r="B1214" s="170"/>
    </row>
    <row r="1215" spans="1:2" x14ac:dyDescent="0.25">
      <c r="A1215" s="170"/>
      <c r="B1215" s="170"/>
    </row>
    <row r="1216" spans="1:2" x14ac:dyDescent="0.25">
      <c r="A1216" s="170"/>
      <c r="B1216" s="170"/>
    </row>
    <row r="1217" spans="1:2" x14ac:dyDescent="0.25">
      <c r="A1217" s="170"/>
      <c r="B1217" s="170"/>
    </row>
    <row r="1218" spans="1:2" x14ac:dyDescent="0.25">
      <c r="A1218" s="170"/>
      <c r="B1218" s="170"/>
    </row>
    <row r="1219" spans="1:2" x14ac:dyDescent="0.25">
      <c r="A1219" s="170"/>
      <c r="B1219" s="170"/>
    </row>
    <row r="1220" spans="1:2" x14ac:dyDescent="0.25">
      <c r="A1220" s="170"/>
      <c r="B1220" s="170"/>
    </row>
    <row r="1221" spans="1:2" x14ac:dyDescent="0.25">
      <c r="A1221" s="170"/>
      <c r="B1221" s="170"/>
    </row>
    <row r="1222" spans="1:2" x14ac:dyDescent="0.25">
      <c r="A1222" s="170"/>
      <c r="B1222" s="170"/>
    </row>
    <row r="1223" spans="1:2" x14ac:dyDescent="0.25">
      <c r="A1223" s="170"/>
      <c r="B1223" s="170"/>
    </row>
    <row r="1224" spans="1:2" x14ac:dyDescent="0.25">
      <c r="A1224" s="170"/>
      <c r="B1224" s="170"/>
    </row>
    <row r="1225" spans="1:2" x14ac:dyDescent="0.25">
      <c r="A1225" s="170"/>
      <c r="B1225" s="170"/>
    </row>
    <row r="1226" spans="1:2" x14ac:dyDescent="0.25">
      <c r="A1226" s="170"/>
      <c r="B1226" s="170"/>
    </row>
    <row r="1227" spans="1:2" x14ac:dyDescent="0.25">
      <c r="A1227" s="170"/>
      <c r="B1227" s="170"/>
    </row>
    <row r="1228" spans="1:2" x14ac:dyDescent="0.25">
      <c r="A1228" s="170"/>
      <c r="B1228" s="170"/>
    </row>
    <row r="1229" spans="1:2" x14ac:dyDescent="0.25">
      <c r="A1229" s="170"/>
      <c r="B1229" s="170"/>
    </row>
    <row r="1230" spans="1:2" x14ac:dyDescent="0.25">
      <c r="A1230" s="170"/>
      <c r="B1230" s="170"/>
    </row>
    <row r="1231" spans="1:2" x14ac:dyDescent="0.25">
      <c r="A1231" s="170"/>
      <c r="B1231" s="170"/>
    </row>
    <row r="1232" spans="1:2" x14ac:dyDescent="0.25">
      <c r="A1232" s="170"/>
      <c r="B1232" s="170"/>
    </row>
    <row r="1233" spans="1:2" x14ac:dyDescent="0.25">
      <c r="A1233" s="170"/>
      <c r="B1233" s="170"/>
    </row>
    <row r="1234" spans="1:2" x14ac:dyDescent="0.25">
      <c r="A1234" s="170"/>
      <c r="B1234" s="170"/>
    </row>
    <row r="1235" spans="1:2" x14ac:dyDescent="0.25">
      <c r="A1235" s="170"/>
      <c r="B1235" s="170"/>
    </row>
    <row r="1236" spans="1:2" x14ac:dyDescent="0.25">
      <c r="A1236" s="170"/>
      <c r="B1236" s="170"/>
    </row>
    <row r="1237" spans="1:2" x14ac:dyDescent="0.25">
      <c r="A1237" s="170"/>
      <c r="B1237" s="170"/>
    </row>
    <row r="1238" spans="1:2" x14ac:dyDescent="0.25">
      <c r="A1238" s="170"/>
      <c r="B1238" s="170"/>
    </row>
    <row r="1239" spans="1:2" x14ac:dyDescent="0.25">
      <c r="A1239" s="170"/>
      <c r="B1239" s="170"/>
    </row>
    <row r="1240" spans="1:2" x14ac:dyDescent="0.25">
      <c r="A1240" s="170"/>
      <c r="B1240" s="170"/>
    </row>
    <row r="1241" spans="1:2" x14ac:dyDescent="0.25">
      <c r="A1241" s="170"/>
      <c r="B1241" s="170"/>
    </row>
    <row r="1242" spans="1:2" x14ac:dyDescent="0.25">
      <c r="A1242" s="170"/>
      <c r="B1242" s="170"/>
    </row>
    <row r="1243" spans="1:2" x14ac:dyDescent="0.25">
      <c r="A1243" s="170"/>
      <c r="B1243" s="170"/>
    </row>
    <row r="1244" spans="1:2" x14ac:dyDescent="0.25">
      <c r="A1244" s="170"/>
      <c r="B1244" s="170"/>
    </row>
    <row r="1245" spans="1:2" x14ac:dyDescent="0.25">
      <c r="A1245" s="170"/>
      <c r="B1245" s="170"/>
    </row>
    <row r="1246" spans="1:2" x14ac:dyDescent="0.25">
      <c r="A1246" s="170"/>
      <c r="B1246" s="170"/>
    </row>
    <row r="1247" spans="1:2" x14ac:dyDescent="0.25">
      <c r="A1247" s="170"/>
      <c r="B1247" s="170"/>
    </row>
    <row r="1248" spans="1:2" x14ac:dyDescent="0.25">
      <c r="A1248" s="170"/>
      <c r="B1248" s="170"/>
    </row>
    <row r="1249" spans="1:2" x14ac:dyDescent="0.25">
      <c r="A1249" s="170"/>
      <c r="B1249" s="170"/>
    </row>
    <row r="1250" spans="1:2" x14ac:dyDescent="0.25">
      <c r="A1250" s="170"/>
      <c r="B1250" s="170"/>
    </row>
    <row r="1251" spans="1:2" x14ac:dyDescent="0.25">
      <c r="A1251" s="170"/>
      <c r="B1251" s="170"/>
    </row>
    <row r="1252" spans="1:2" x14ac:dyDescent="0.25">
      <c r="A1252" s="170"/>
      <c r="B1252" s="170"/>
    </row>
    <row r="1253" spans="1:2" x14ac:dyDescent="0.25">
      <c r="A1253" s="170"/>
      <c r="B1253" s="170"/>
    </row>
    <row r="1254" spans="1:2" x14ac:dyDescent="0.25">
      <c r="A1254" s="170"/>
      <c r="B1254" s="170"/>
    </row>
    <row r="1255" spans="1:2" x14ac:dyDescent="0.25">
      <c r="A1255" s="170"/>
      <c r="B1255" s="170"/>
    </row>
    <row r="1256" spans="1:2" x14ac:dyDescent="0.25">
      <c r="A1256" s="170"/>
      <c r="B1256" s="170"/>
    </row>
    <row r="1257" spans="1:2" x14ac:dyDescent="0.25">
      <c r="A1257" s="170"/>
      <c r="B1257" s="170"/>
    </row>
    <row r="1258" spans="1:2" x14ac:dyDescent="0.25">
      <c r="A1258" s="170"/>
      <c r="B1258" s="170"/>
    </row>
    <row r="1259" spans="1:2" x14ac:dyDescent="0.25">
      <c r="A1259" s="170"/>
      <c r="B1259" s="170"/>
    </row>
    <row r="1260" spans="1:2" x14ac:dyDescent="0.25">
      <c r="A1260" s="170"/>
      <c r="B1260" s="170"/>
    </row>
    <row r="1261" spans="1:2" x14ac:dyDescent="0.25">
      <c r="A1261" s="170"/>
      <c r="B1261" s="170"/>
    </row>
    <row r="1262" spans="1:2" x14ac:dyDescent="0.25">
      <c r="A1262" s="170"/>
      <c r="B1262" s="170"/>
    </row>
    <row r="1263" spans="1:2" x14ac:dyDescent="0.25">
      <c r="A1263" s="170"/>
      <c r="B1263" s="170"/>
    </row>
    <row r="1264" spans="1:2" x14ac:dyDescent="0.25">
      <c r="A1264" s="170"/>
      <c r="B1264" s="170"/>
    </row>
    <row r="1265" spans="1:2" x14ac:dyDescent="0.25">
      <c r="A1265" s="170"/>
      <c r="B1265" s="170"/>
    </row>
    <row r="1266" spans="1:2" x14ac:dyDescent="0.25">
      <c r="A1266" s="170"/>
      <c r="B1266" s="170"/>
    </row>
    <row r="1267" spans="1:2" x14ac:dyDescent="0.25">
      <c r="A1267" s="170"/>
      <c r="B1267" s="170"/>
    </row>
    <row r="1268" spans="1:2" x14ac:dyDescent="0.25">
      <c r="A1268" s="170"/>
      <c r="B1268" s="170"/>
    </row>
    <row r="1269" spans="1:2" x14ac:dyDescent="0.25">
      <c r="A1269" s="170"/>
      <c r="B1269" s="170"/>
    </row>
    <row r="1270" spans="1:2" x14ac:dyDescent="0.25">
      <c r="A1270" s="170"/>
      <c r="B1270" s="170"/>
    </row>
    <row r="1271" spans="1:2" x14ac:dyDescent="0.25">
      <c r="A1271" s="170"/>
      <c r="B1271" s="170"/>
    </row>
    <row r="1272" spans="1:2" x14ac:dyDescent="0.25">
      <c r="A1272" s="170"/>
      <c r="B1272" s="170"/>
    </row>
    <row r="1273" spans="1:2" x14ac:dyDescent="0.25">
      <c r="A1273" s="170"/>
      <c r="B1273" s="170"/>
    </row>
    <row r="1274" spans="1:2" x14ac:dyDescent="0.25">
      <c r="A1274" s="170"/>
      <c r="B1274" s="170"/>
    </row>
    <row r="1275" spans="1:2" x14ac:dyDescent="0.25">
      <c r="A1275" s="170"/>
      <c r="B1275" s="170"/>
    </row>
    <row r="1276" spans="1:2" x14ac:dyDescent="0.25">
      <c r="A1276" s="170"/>
      <c r="B1276" s="170"/>
    </row>
    <row r="1277" spans="1:2" x14ac:dyDescent="0.25">
      <c r="A1277" s="170"/>
      <c r="B1277" s="170"/>
    </row>
    <row r="1278" spans="1:2" x14ac:dyDescent="0.25">
      <c r="A1278" s="170"/>
      <c r="B1278" s="170"/>
    </row>
    <row r="1279" spans="1:2" x14ac:dyDescent="0.25">
      <c r="A1279" s="170"/>
      <c r="B1279" s="170"/>
    </row>
    <row r="1280" spans="1:2" x14ac:dyDescent="0.25">
      <c r="A1280" s="170"/>
      <c r="B1280" s="170"/>
    </row>
    <row r="1281" spans="1:2" x14ac:dyDescent="0.25">
      <c r="A1281" s="170"/>
      <c r="B1281" s="170"/>
    </row>
    <row r="1282" spans="1:2" x14ac:dyDescent="0.25">
      <c r="A1282" s="170"/>
      <c r="B1282" s="170"/>
    </row>
    <row r="1283" spans="1:2" x14ac:dyDescent="0.25">
      <c r="A1283" s="170"/>
      <c r="B1283" s="170"/>
    </row>
    <row r="1284" spans="1:2" x14ac:dyDescent="0.25">
      <c r="A1284" s="170"/>
      <c r="B1284" s="170"/>
    </row>
    <row r="1285" spans="1:2" x14ac:dyDescent="0.25">
      <c r="A1285" s="170"/>
      <c r="B1285" s="170"/>
    </row>
    <row r="1286" spans="1:2" x14ac:dyDescent="0.25">
      <c r="A1286" s="170"/>
      <c r="B1286" s="170"/>
    </row>
    <row r="1287" spans="1:2" x14ac:dyDescent="0.25">
      <c r="A1287" s="170"/>
      <c r="B1287" s="170"/>
    </row>
    <row r="1288" spans="1:2" x14ac:dyDescent="0.25">
      <c r="A1288" s="170"/>
      <c r="B1288" s="170"/>
    </row>
    <row r="1289" spans="1:2" x14ac:dyDescent="0.25">
      <c r="A1289" s="170"/>
      <c r="B1289" s="170"/>
    </row>
    <row r="1290" spans="1:2" x14ac:dyDescent="0.25">
      <c r="A1290" s="170"/>
      <c r="B1290" s="170"/>
    </row>
    <row r="1291" spans="1:2" x14ac:dyDescent="0.25">
      <c r="A1291" s="170"/>
      <c r="B1291" s="170"/>
    </row>
    <row r="1292" spans="1:2" x14ac:dyDescent="0.25">
      <c r="A1292" s="170"/>
      <c r="B1292" s="170"/>
    </row>
    <row r="1293" spans="1:2" x14ac:dyDescent="0.25">
      <c r="A1293" s="170"/>
      <c r="B1293" s="170"/>
    </row>
    <row r="1294" spans="1:2" x14ac:dyDescent="0.25">
      <c r="A1294" s="170"/>
      <c r="B1294" s="170"/>
    </row>
    <row r="1295" spans="1:2" x14ac:dyDescent="0.25">
      <c r="A1295" s="170"/>
      <c r="B1295" s="170"/>
    </row>
    <row r="1296" spans="1:2" x14ac:dyDescent="0.25">
      <c r="A1296" s="170"/>
      <c r="B1296" s="170"/>
    </row>
    <row r="1297" spans="1:2" x14ac:dyDescent="0.25">
      <c r="A1297" s="170"/>
      <c r="B1297" s="170"/>
    </row>
    <row r="1298" spans="1:2" x14ac:dyDescent="0.25">
      <c r="A1298" s="170"/>
      <c r="B1298" s="170"/>
    </row>
    <row r="1299" spans="1:2" x14ac:dyDescent="0.25">
      <c r="A1299" s="170"/>
      <c r="B1299" s="170"/>
    </row>
    <row r="1300" spans="1:2" x14ac:dyDescent="0.25">
      <c r="A1300" s="170"/>
      <c r="B1300" s="170"/>
    </row>
    <row r="1301" spans="1:2" x14ac:dyDescent="0.25">
      <c r="A1301" s="170"/>
      <c r="B1301" s="170"/>
    </row>
    <row r="1302" spans="1:2" x14ac:dyDescent="0.25">
      <c r="A1302" s="170"/>
      <c r="B1302" s="170"/>
    </row>
    <row r="1303" spans="1:2" x14ac:dyDescent="0.25">
      <c r="A1303" s="170"/>
      <c r="B1303" s="170"/>
    </row>
    <row r="1304" spans="1:2" x14ac:dyDescent="0.25">
      <c r="A1304" s="170"/>
      <c r="B1304" s="170"/>
    </row>
    <row r="1305" spans="1:2" x14ac:dyDescent="0.25">
      <c r="A1305" s="170"/>
      <c r="B1305" s="170"/>
    </row>
    <row r="1306" spans="1:2" x14ac:dyDescent="0.25">
      <c r="A1306" s="170"/>
      <c r="B1306" s="170"/>
    </row>
    <row r="1307" spans="1:2" x14ac:dyDescent="0.25">
      <c r="A1307" s="170"/>
      <c r="B1307" s="170"/>
    </row>
    <row r="1308" spans="1:2" x14ac:dyDescent="0.25">
      <c r="A1308" s="170"/>
      <c r="B1308" s="170"/>
    </row>
    <row r="1309" spans="1:2" x14ac:dyDescent="0.25">
      <c r="A1309" s="170"/>
      <c r="B1309" s="170"/>
    </row>
    <row r="1310" spans="1:2" x14ac:dyDescent="0.25">
      <c r="A1310" s="170"/>
      <c r="B1310" s="170"/>
    </row>
    <row r="1311" spans="1:2" x14ac:dyDescent="0.25">
      <c r="A1311" s="170"/>
      <c r="B1311" s="170"/>
    </row>
    <row r="1312" spans="1:2" x14ac:dyDescent="0.25">
      <c r="A1312" s="170"/>
      <c r="B1312" s="170"/>
    </row>
    <row r="1313" spans="1:2" x14ac:dyDescent="0.25">
      <c r="A1313" s="170"/>
      <c r="B1313" s="170"/>
    </row>
    <row r="1314" spans="1:2" x14ac:dyDescent="0.25">
      <c r="A1314" s="170"/>
      <c r="B1314" s="170"/>
    </row>
    <row r="1315" spans="1:2" x14ac:dyDescent="0.25">
      <c r="A1315" s="170"/>
      <c r="B1315" s="170"/>
    </row>
    <row r="1316" spans="1:2" x14ac:dyDescent="0.25">
      <c r="A1316" s="170"/>
      <c r="B1316" s="170"/>
    </row>
    <row r="1317" spans="1:2" x14ac:dyDescent="0.25">
      <c r="A1317" s="170"/>
      <c r="B1317" s="170"/>
    </row>
    <row r="1318" spans="1:2" x14ac:dyDescent="0.25">
      <c r="A1318" s="170"/>
      <c r="B1318" s="170"/>
    </row>
    <row r="1319" spans="1:2" x14ac:dyDescent="0.25">
      <c r="A1319" s="170"/>
      <c r="B1319" s="170"/>
    </row>
    <row r="1320" spans="1:2" x14ac:dyDescent="0.25">
      <c r="A1320" s="170"/>
      <c r="B1320" s="170"/>
    </row>
    <row r="1321" spans="1:2" x14ac:dyDescent="0.25">
      <c r="A1321" s="170"/>
      <c r="B1321" s="170"/>
    </row>
    <row r="1322" spans="1:2" x14ac:dyDescent="0.25">
      <c r="A1322" s="170"/>
      <c r="B1322" s="170"/>
    </row>
    <row r="1323" spans="1:2" x14ac:dyDescent="0.25">
      <c r="A1323" s="170"/>
      <c r="B1323" s="170"/>
    </row>
    <row r="1324" spans="1:2" x14ac:dyDescent="0.25">
      <c r="A1324" s="170"/>
      <c r="B1324" s="170"/>
    </row>
    <row r="1325" spans="1:2" x14ac:dyDescent="0.25">
      <c r="A1325" s="170"/>
      <c r="B1325" s="170"/>
    </row>
    <row r="1326" spans="1:2" x14ac:dyDescent="0.25">
      <c r="A1326" s="170"/>
      <c r="B1326" s="170"/>
    </row>
    <row r="1327" spans="1:2" x14ac:dyDescent="0.25">
      <c r="A1327" s="170"/>
      <c r="B1327" s="170"/>
    </row>
    <row r="1328" spans="1:2" x14ac:dyDescent="0.25">
      <c r="A1328" s="170"/>
      <c r="B1328" s="170"/>
    </row>
    <row r="1329" spans="1:2" x14ac:dyDescent="0.25">
      <c r="A1329" s="170"/>
      <c r="B1329" s="170"/>
    </row>
    <row r="1330" spans="1:2" x14ac:dyDescent="0.25">
      <c r="A1330" s="170"/>
      <c r="B1330" s="170"/>
    </row>
    <row r="1331" spans="1:2" x14ac:dyDescent="0.25">
      <c r="A1331" s="170"/>
      <c r="B1331" s="170"/>
    </row>
    <row r="1332" spans="1:2" x14ac:dyDescent="0.25">
      <c r="A1332" s="170"/>
      <c r="B1332" s="170"/>
    </row>
    <row r="1333" spans="1:2" x14ac:dyDescent="0.25">
      <c r="A1333" s="170"/>
      <c r="B1333" s="170"/>
    </row>
    <row r="1334" spans="1:2" x14ac:dyDescent="0.25">
      <c r="A1334" s="170"/>
      <c r="B1334" s="170"/>
    </row>
    <row r="1335" spans="1:2" x14ac:dyDescent="0.25">
      <c r="A1335" s="170"/>
      <c r="B1335" s="170"/>
    </row>
    <row r="1336" spans="1:2" x14ac:dyDescent="0.25">
      <c r="A1336" s="170"/>
      <c r="B1336" s="170"/>
    </row>
    <row r="1337" spans="1:2" x14ac:dyDescent="0.25">
      <c r="A1337" s="170"/>
      <c r="B1337" s="170"/>
    </row>
    <row r="1338" spans="1:2" x14ac:dyDescent="0.25">
      <c r="A1338" s="170"/>
      <c r="B1338" s="170"/>
    </row>
    <row r="1339" spans="1:2" x14ac:dyDescent="0.25">
      <c r="A1339" s="170"/>
      <c r="B1339" s="170"/>
    </row>
    <row r="1340" spans="1:2" x14ac:dyDescent="0.25">
      <c r="A1340" s="170"/>
      <c r="B1340" s="170"/>
    </row>
    <row r="1341" spans="1:2" x14ac:dyDescent="0.25">
      <c r="A1341" s="170"/>
      <c r="B1341" s="170"/>
    </row>
    <row r="1342" spans="1:2" x14ac:dyDescent="0.25">
      <c r="A1342" s="170"/>
      <c r="B1342" s="170"/>
    </row>
    <row r="1343" spans="1:2" x14ac:dyDescent="0.25">
      <c r="A1343" s="170"/>
      <c r="B1343" s="170"/>
    </row>
    <row r="1344" spans="1:2" x14ac:dyDescent="0.25">
      <c r="A1344" s="170"/>
      <c r="B1344" s="170"/>
    </row>
    <row r="1345" spans="1:2" x14ac:dyDescent="0.25">
      <c r="A1345" s="170"/>
      <c r="B1345" s="170"/>
    </row>
    <row r="1346" spans="1:2" x14ac:dyDescent="0.25">
      <c r="A1346" s="170"/>
      <c r="B1346" s="170"/>
    </row>
    <row r="1347" spans="1:2" x14ac:dyDescent="0.25">
      <c r="A1347" s="170"/>
      <c r="B1347" s="170"/>
    </row>
    <row r="1348" spans="1:2" x14ac:dyDescent="0.25">
      <c r="A1348" s="170"/>
      <c r="B1348" s="170"/>
    </row>
    <row r="1349" spans="1:2" x14ac:dyDescent="0.25">
      <c r="A1349" s="170"/>
      <c r="B1349" s="170"/>
    </row>
    <row r="1350" spans="1:2" x14ac:dyDescent="0.25">
      <c r="A1350" s="170"/>
      <c r="B1350" s="170"/>
    </row>
    <row r="1351" spans="1:2" x14ac:dyDescent="0.25">
      <c r="A1351" s="170"/>
      <c r="B1351" s="170"/>
    </row>
    <row r="1352" spans="1:2" x14ac:dyDescent="0.25">
      <c r="A1352" s="170"/>
      <c r="B1352" s="170"/>
    </row>
    <row r="1353" spans="1:2" x14ac:dyDescent="0.25">
      <c r="A1353" s="170"/>
      <c r="B1353" s="170"/>
    </row>
    <row r="1354" spans="1:2" x14ac:dyDescent="0.25">
      <c r="A1354" s="170"/>
      <c r="B1354" s="170"/>
    </row>
    <row r="1355" spans="1:2" x14ac:dyDescent="0.25">
      <c r="A1355" s="170"/>
      <c r="B1355" s="170"/>
    </row>
    <row r="1356" spans="1:2" x14ac:dyDescent="0.25">
      <c r="A1356" s="170"/>
      <c r="B1356" s="170"/>
    </row>
    <row r="1357" spans="1:2" x14ac:dyDescent="0.25">
      <c r="A1357" s="170"/>
      <c r="B1357" s="170"/>
    </row>
    <row r="1358" spans="1:2" x14ac:dyDescent="0.25">
      <c r="A1358" s="170"/>
      <c r="B1358" s="170"/>
    </row>
    <row r="1359" spans="1:2" x14ac:dyDescent="0.25">
      <c r="A1359" s="170"/>
      <c r="B1359" s="170"/>
    </row>
    <row r="1360" spans="1:2" x14ac:dyDescent="0.25">
      <c r="A1360" s="170"/>
      <c r="B1360" s="170"/>
    </row>
    <row r="1361" spans="1:2" x14ac:dyDescent="0.25">
      <c r="A1361" s="170"/>
      <c r="B1361" s="170"/>
    </row>
    <row r="1362" spans="1:2" x14ac:dyDescent="0.25">
      <c r="A1362" s="170"/>
      <c r="B1362" s="170"/>
    </row>
    <row r="1363" spans="1:2" x14ac:dyDescent="0.25">
      <c r="A1363" s="170"/>
      <c r="B1363" s="170"/>
    </row>
    <row r="1364" spans="1:2" x14ac:dyDescent="0.25">
      <c r="A1364" s="170"/>
      <c r="B1364" s="170"/>
    </row>
    <row r="1365" spans="1:2" x14ac:dyDescent="0.25">
      <c r="A1365" s="170"/>
      <c r="B1365" s="170"/>
    </row>
    <row r="1366" spans="1:2" x14ac:dyDescent="0.25">
      <c r="A1366" s="170"/>
      <c r="B1366" s="170"/>
    </row>
    <row r="1367" spans="1:2" x14ac:dyDescent="0.25">
      <c r="A1367" s="170"/>
      <c r="B1367" s="170"/>
    </row>
    <row r="1368" spans="1:2" x14ac:dyDescent="0.25">
      <c r="A1368" s="170"/>
      <c r="B1368" s="170"/>
    </row>
    <row r="1369" spans="1:2" x14ac:dyDescent="0.25">
      <c r="A1369" s="170"/>
      <c r="B1369" s="170"/>
    </row>
    <row r="1370" spans="1:2" x14ac:dyDescent="0.25">
      <c r="A1370" s="170"/>
      <c r="B1370" s="170"/>
    </row>
    <row r="1371" spans="1:2" x14ac:dyDescent="0.25">
      <c r="A1371" s="170"/>
      <c r="B1371" s="170"/>
    </row>
    <row r="1372" spans="1:2" x14ac:dyDescent="0.25">
      <c r="A1372" s="170"/>
      <c r="B1372" s="170"/>
    </row>
    <row r="1373" spans="1:2" x14ac:dyDescent="0.25">
      <c r="A1373" s="170"/>
      <c r="B1373" s="170"/>
    </row>
    <row r="1374" spans="1:2" x14ac:dyDescent="0.25">
      <c r="A1374" s="170"/>
      <c r="B1374" s="170"/>
    </row>
    <row r="1375" spans="1:2" x14ac:dyDescent="0.25">
      <c r="A1375" s="170"/>
      <c r="B1375" s="170"/>
    </row>
    <row r="1376" spans="1:2" x14ac:dyDescent="0.25">
      <c r="A1376" s="170"/>
      <c r="B1376" s="170"/>
    </row>
    <row r="1377" spans="1:2" x14ac:dyDescent="0.25">
      <c r="A1377" s="170"/>
      <c r="B1377" s="170"/>
    </row>
    <row r="1378" spans="1:2" x14ac:dyDescent="0.25">
      <c r="A1378" s="170"/>
      <c r="B1378" s="170"/>
    </row>
    <row r="1379" spans="1:2" x14ac:dyDescent="0.25">
      <c r="A1379" s="170"/>
      <c r="B1379" s="170"/>
    </row>
    <row r="1380" spans="1:2" x14ac:dyDescent="0.25">
      <c r="A1380" s="170"/>
      <c r="B1380" s="170"/>
    </row>
    <row r="1381" spans="1:2" x14ac:dyDescent="0.25">
      <c r="A1381" s="170"/>
      <c r="B1381" s="170"/>
    </row>
    <row r="1382" spans="1:2" x14ac:dyDescent="0.25">
      <c r="A1382" s="170"/>
      <c r="B1382" s="170"/>
    </row>
    <row r="1383" spans="1:2" x14ac:dyDescent="0.25">
      <c r="A1383" s="170"/>
      <c r="B1383" s="170"/>
    </row>
    <row r="1384" spans="1:2" x14ac:dyDescent="0.25">
      <c r="A1384" s="170"/>
      <c r="B1384" s="170"/>
    </row>
    <row r="1385" spans="1:2" x14ac:dyDescent="0.25">
      <c r="A1385" s="170"/>
      <c r="B1385" s="170"/>
    </row>
    <row r="1386" spans="1:2" x14ac:dyDescent="0.25">
      <c r="A1386" s="170"/>
      <c r="B1386" s="170"/>
    </row>
    <row r="1387" spans="1:2" x14ac:dyDescent="0.25">
      <c r="A1387" s="170"/>
      <c r="B1387" s="170"/>
    </row>
    <row r="1388" spans="1:2" x14ac:dyDescent="0.25">
      <c r="A1388" s="170"/>
      <c r="B1388" s="170"/>
    </row>
    <row r="1389" spans="1:2" x14ac:dyDescent="0.25">
      <c r="A1389" s="170"/>
      <c r="B1389" s="170"/>
    </row>
    <row r="1390" spans="1:2" x14ac:dyDescent="0.25">
      <c r="A1390" s="170"/>
      <c r="B1390" s="170"/>
    </row>
    <row r="1391" spans="1:2" x14ac:dyDescent="0.25">
      <c r="A1391" s="170"/>
      <c r="B1391" s="170"/>
    </row>
    <row r="1392" spans="1:2" x14ac:dyDescent="0.25">
      <c r="A1392" s="170"/>
      <c r="B1392" s="170"/>
    </row>
    <row r="1393" spans="1:2" x14ac:dyDescent="0.25">
      <c r="A1393" s="170"/>
      <c r="B1393" s="170"/>
    </row>
    <row r="1394" spans="1:2" x14ac:dyDescent="0.25">
      <c r="A1394" s="170"/>
      <c r="B1394" s="170"/>
    </row>
    <row r="1395" spans="1:2" x14ac:dyDescent="0.25">
      <c r="A1395" s="170"/>
      <c r="B1395" s="170"/>
    </row>
    <row r="1396" spans="1:2" x14ac:dyDescent="0.25">
      <c r="A1396" s="170"/>
      <c r="B1396" s="170"/>
    </row>
    <row r="1397" spans="1:2" x14ac:dyDescent="0.25">
      <c r="A1397" s="170"/>
      <c r="B1397" s="170"/>
    </row>
    <row r="1398" spans="1:2" x14ac:dyDescent="0.25">
      <c r="A1398" s="170"/>
      <c r="B1398" s="170"/>
    </row>
    <row r="1399" spans="1:2" x14ac:dyDescent="0.25">
      <c r="A1399" s="170"/>
      <c r="B1399" s="170"/>
    </row>
    <row r="1400" spans="1:2" x14ac:dyDescent="0.25">
      <c r="A1400" s="170"/>
      <c r="B1400" s="170"/>
    </row>
    <row r="1401" spans="1:2" x14ac:dyDescent="0.25">
      <c r="A1401" s="170"/>
      <c r="B1401" s="170"/>
    </row>
    <row r="1402" spans="1:2" x14ac:dyDescent="0.25">
      <c r="A1402" s="170"/>
      <c r="B1402" s="170"/>
    </row>
    <row r="1403" spans="1:2" x14ac:dyDescent="0.25">
      <c r="A1403" s="170"/>
      <c r="B1403" s="170"/>
    </row>
    <row r="1404" spans="1:2" x14ac:dyDescent="0.25">
      <c r="A1404" s="170"/>
      <c r="B1404" s="170"/>
    </row>
    <row r="1405" spans="1:2" x14ac:dyDescent="0.25">
      <c r="A1405" s="170"/>
      <c r="B1405" s="170"/>
    </row>
    <row r="1406" spans="1:2" x14ac:dyDescent="0.25">
      <c r="A1406" s="170"/>
      <c r="B1406" s="170"/>
    </row>
    <row r="1407" spans="1:2" x14ac:dyDescent="0.25">
      <c r="A1407" s="170"/>
      <c r="B1407" s="170"/>
    </row>
    <row r="1408" spans="1:2" x14ac:dyDescent="0.25">
      <c r="A1408" s="170"/>
      <c r="B1408" s="170"/>
    </row>
    <row r="1409" spans="1:2" x14ac:dyDescent="0.25">
      <c r="A1409" s="170"/>
      <c r="B1409" s="170"/>
    </row>
    <row r="1410" spans="1:2" x14ac:dyDescent="0.25">
      <c r="A1410" s="170"/>
      <c r="B1410" s="170"/>
    </row>
    <row r="1411" spans="1:2" x14ac:dyDescent="0.25">
      <c r="A1411" s="170"/>
      <c r="B1411" s="170"/>
    </row>
    <row r="1412" spans="1:2" x14ac:dyDescent="0.25">
      <c r="A1412" s="170"/>
      <c r="B1412" s="170"/>
    </row>
    <row r="1413" spans="1:2" x14ac:dyDescent="0.25">
      <c r="A1413" s="170"/>
      <c r="B1413" s="170"/>
    </row>
    <row r="1414" spans="1:2" x14ac:dyDescent="0.25">
      <c r="A1414" s="170"/>
      <c r="B1414" s="170"/>
    </row>
    <row r="1415" spans="1:2" x14ac:dyDescent="0.25">
      <c r="A1415" s="170"/>
      <c r="B1415" s="170"/>
    </row>
    <row r="1416" spans="1:2" x14ac:dyDescent="0.25">
      <c r="A1416" s="170"/>
      <c r="B1416" s="170"/>
    </row>
    <row r="1417" spans="1:2" x14ac:dyDescent="0.25">
      <c r="A1417" s="170"/>
      <c r="B1417" s="170"/>
    </row>
    <row r="1418" spans="1:2" x14ac:dyDescent="0.25">
      <c r="A1418" s="170"/>
      <c r="B1418" s="170"/>
    </row>
    <row r="1419" spans="1:2" x14ac:dyDescent="0.25">
      <c r="A1419" s="170"/>
      <c r="B1419" s="170"/>
    </row>
    <row r="1420" spans="1:2" x14ac:dyDescent="0.25">
      <c r="A1420" s="170"/>
      <c r="B1420" s="170"/>
    </row>
    <row r="1421" spans="1:2" x14ac:dyDescent="0.25">
      <c r="A1421" s="170"/>
      <c r="B1421" s="170"/>
    </row>
    <row r="1422" spans="1:2" x14ac:dyDescent="0.25">
      <c r="A1422" s="170"/>
      <c r="B1422" s="170"/>
    </row>
    <row r="1423" spans="1:2" x14ac:dyDescent="0.25">
      <c r="A1423" s="170"/>
      <c r="B1423" s="170"/>
    </row>
    <row r="1424" spans="1:2" x14ac:dyDescent="0.25">
      <c r="A1424" s="170"/>
      <c r="B1424" s="170"/>
    </row>
    <row r="1425" spans="1:2" x14ac:dyDescent="0.25">
      <c r="A1425" s="170"/>
      <c r="B1425" s="170"/>
    </row>
    <row r="1426" spans="1:2" x14ac:dyDescent="0.25">
      <c r="A1426" s="170"/>
      <c r="B1426" s="170"/>
    </row>
    <row r="1427" spans="1:2" x14ac:dyDescent="0.25">
      <c r="A1427" s="170"/>
      <c r="B1427" s="170"/>
    </row>
    <row r="1428" spans="1:2" x14ac:dyDescent="0.25">
      <c r="A1428" s="170"/>
      <c r="B1428" s="170"/>
    </row>
    <row r="1429" spans="1:2" x14ac:dyDescent="0.25">
      <c r="A1429" s="170"/>
      <c r="B1429" s="170"/>
    </row>
    <row r="1430" spans="1:2" x14ac:dyDescent="0.25">
      <c r="A1430" s="170"/>
      <c r="B1430" s="170"/>
    </row>
    <row r="1431" spans="1:2" x14ac:dyDescent="0.25">
      <c r="A1431" s="170"/>
      <c r="B1431" s="170"/>
    </row>
    <row r="1432" spans="1:2" x14ac:dyDescent="0.25">
      <c r="A1432" s="170"/>
      <c r="B1432" s="170"/>
    </row>
    <row r="1433" spans="1:2" x14ac:dyDescent="0.25">
      <c r="A1433" s="170"/>
      <c r="B1433" s="170"/>
    </row>
    <row r="1434" spans="1:2" x14ac:dyDescent="0.25">
      <c r="A1434" s="170"/>
      <c r="B1434" s="170"/>
    </row>
    <row r="1435" spans="1:2" x14ac:dyDescent="0.25">
      <c r="A1435" s="170"/>
      <c r="B1435" s="170"/>
    </row>
    <row r="1436" spans="1:2" x14ac:dyDescent="0.25">
      <c r="A1436" s="170"/>
      <c r="B1436" s="170"/>
    </row>
    <row r="1437" spans="1:2" x14ac:dyDescent="0.25">
      <c r="A1437" s="170"/>
      <c r="B1437" s="170"/>
    </row>
    <row r="1438" spans="1:2" x14ac:dyDescent="0.25">
      <c r="A1438" s="170"/>
      <c r="B1438" s="170"/>
    </row>
    <row r="1439" spans="1:2" x14ac:dyDescent="0.25">
      <c r="A1439" s="170"/>
      <c r="B1439" s="170"/>
    </row>
    <row r="1440" spans="1:2" x14ac:dyDescent="0.25">
      <c r="A1440" s="170"/>
      <c r="B1440" s="170"/>
    </row>
    <row r="1441" spans="1:2" x14ac:dyDescent="0.25">
      <c r="A1441" s="170"/>
      <c r="B1441" s="170"/>
    </row>
    <row r="1442" spans="1:2" x14ac:dyDescent="0.25">
      <c r="A1442" s="170"/>
      <c r="B1442" s="170"/>
    </row>
    <row r="1443" spans="1:2" x14ac:dyDescent="0.25">
      <c r="A1443" s="170"/>
      <c r="B1443" s="170"/>
    </row>
    <row r="1444" spans="1:2" x14ac:dyDescent="0.25">
      <c r="A1444" s="170"/>
      <c r="B1444" s="170"/>
    </row>
    <row r="1445" spans="1:2" x14ac:dyDescent="0.25">
      <c r="A1445" s="170"/>
      <c r="B1445" s="170"/>
    </row>
    <row r="1446" spans="1:2" x14ac:dyDescent="0.25">
      <c r="A1446" s="170"/>
      <c r="B1446" s="170"/>
    </row>
    <row r="1447" spans="1:2" x14ac:dyDescent="0.25">
      <c r="A1447" s="170"/>
      <c r="B1447" s="170"/>
    </row>
    <row r="1448" spans="1:2" x14ac:dyDescent="0.25">
      <c r="A1448" s="170"/>
      <c r="B1448" s="170"/>
    </row>
    <row r="1449" spans="1:2" x14ac:dyDescent="0.25">
      <c r="A1449" s="170"/>
      <c r="B1449" s="170"/>
    </row>
    <row r="1450" spans="1:2" x14ac:dyDescent="0.25">
      <c r="A1450" s="170"/>
      <c r="B1450" s="170"/>
    </row>
    <row r="1451" spans="1:2" x14ac:dyDescent="0.25">
      <c r="A1451" s="170"/>
      <c r="B1451" s="170"/>
    </row>
    <row r="1452" spans="1:2" x14ac:dyDescent="0.25">
      <c r="A1452" s="170"/>
      <c r="B1452" s="170"/>
    </row>
    <row r="1453" spans="1:2" x14ac:dyDescent="0.25">
      <c r="A1453" s="170"/>
      <c r="B1453" s="170"/>
    </row>
    <row r="1454" spans="1:2" x14ac:dyDescent="0.25">
      <c r="A1454" s="170"/>
      <c r="B1454" s="170"/>
    </row>
    <row r="1455" spans="1:2" x14ac:dyDescent="0.25">
      <c r="A1455" s="170"/>
      <c r="B1455" s="170"/>
    </row>
    <row r="1456" spans="1:2" x14ac:dyDescent="0.25">
      <c r="A1456" s="170"/>
      <c r="B1456" s="170"/>
    </row>
    <row r="1457" spans="1:2" x14ac:dyDescent="0.25">
      <c r="A1457" s="170"/>
      <c r="B1457" s="170"/>
    </row>
    <row r="1458" spans="1:2" x14ac:dyDescent="0.25">
      <c r="A1458" s="170"/>
      <c r="B1458" s="170"/>
    </row>
    <row r="1459" spans="1:2" x14ac:dyDescent="0.25">
      <c r="A1459" s="170"/>
      <c r="B1459" s="170"/>
    </row>
    <row r="1460" spans="1:2" x14ac:dyDescent="0.25">
      <c r="A1460" s="170"/>
      <c r="B1460" s="170"/>
    </row>
    <row r="1461" spans="1:2" x14ac:dyDescent="0.25">
      <c r="A1461" s="170"/>
      <c r="B1461" s="170"/>
    </row>
    <row r="1462" spans="1:2" x14ac:dyDescent="0.25">
      <c r="A1462" s="170"/>
      <c r="B1462" s="170"/>
    </row>
    <row r="1463" spans="1:2" x14ac:dyDescent="0.25">
      <c r="A1463" s="170"/>
      <c r="B1463" s="170"/>
    </row>
    <row r="1464" spans="1:2" x14ac:dyDescent="0.25">
      <c r="A1464" s="170"/>
      <c r="B1464" s="170"/>
    </row>
    <row r="1465" spans="1:2" x14ac:dyDescent="0.25">
      <c r="A1465" s="170"/>
      <c r="B1465" s="170"/>
    </row>
    <row r="1466" spans="1:2" x14ac:dyDescent="0.25">
      <c r="A1466" s="170"/>
      <c r="B1466" s="170"/>
    </row>
    <row r="1467" spans="1:2" x14ac:dyDescent="0.25">
      <c r="A1467" s="170"/>
      <c r="B1467" s="170"/>
    </row>
    <row r="1468" spans="1:2" x14ac:dyDescent="0.25">
      <c r="A1468" s="170"/>
      <c r="B1468" s="170"/>
    </row>
    <row r="1469" spans="1:2" x14ac:dyDescent="0.25">
      <c r="A1469" s="170"/>
      <c r="B1469" s="170"/>
    </row>
    <row r="1470" spans="1:2" x14ac:dyDescent="0.25">
      <c r="A1470" s="170"/>
      <c r="B1470" s="170"/>
    </row>
    <row r="1471" spans="1:2" x14ac:dyDescent="0.25">
      <c r="A1471" s="170"/>
      <c r="B1471" s="170"/>
    </row>
    <row r="1472" spans="1:2" x14ac:dyDescent="0.25">
      <c r="A1472" s="170"/>
      <c r="B1472" s="170"/>
    </row>
    <row r="1473" spans="1:2" x14ac:dyDescent="0.25">
      <c r="A1473" s="170"/>
      <c r="B1473" s="170"/>
    </row>
    <row r="1474" spans="1:2" x14ac:dyDescent="0.25">
      <c r="A1474" s="170"/>
      <c r="B1474" s="170"/>
    </row>
    <row r="1475" spans="1:2" x14ac:dyDescent="0.25">
      <c r="A1475" s="170"/>
      <c r="B1475" s="170"/>
    </row>
    <row r="1476" spans="1:2" x14ac:dyDescent="0.25">
      <c r="A1476" s="170"/>
      <c r="B1476" s="170"/>
    </row>
    <row r="1477" spans="1:2" x14ac:dyDescent="0.25">
      <c r="A1477" s="170"/>
      <c r="B1477" s="170"/>
    </row>
    <row r="1478" spans="1:2" x14ac:dyDescent="0.25">
      <c r="A1478" s="170"/>
      <c r="B1478" s="170"/>
    </row>
    <row r="1479" spans="1:2" x14ac:dyDescent="0.25">
      <c r="A1479" s="170"/>
      <c r="B1479" s="170"/>
    </row>
    <row r="1480" spans="1:2" x14ac:dyDescent="0.25">
      <c r="A1480" s="170"/>
      <c r="B1480" s="170"/>
    </row>
    <row r="1481" spans="1:2" x14ac:dyDescent="0.25">
      <c r="A1481" s="170"/>
      <c r="B1481" s="170"/>
    </row>
    <row r="1482" spans="1:2" x14ac:dyDescent="0.25">
      <c r="A1482" s="170"/>
      <c r="B1482" s="170"/>
    </row>
    <row r="1483" spans="1:2" x14ac:dyDescent="0.25">
      <c r="A1483" s="170"/>
      <c r="B1483" s="170"/>
    </row>
    <row r="1484" spans="1:2" x14ac:dyDescent="0.25">
      <c r="A1484" s="170"/>
      <c r="B1484" s="170"/>
    </row>
    <row r="1485" spans="1:2" x14ac:dyDescent="0.25">
      <c r="A1485" s="170"/>
      <c r="B1485" s="170"/>
    </row>
    <row r="1486" spans="1:2" x14ac:dyDescent="0.25">
      <c r="A1486" s="170"/>
      <c r="B1486" s="170"/>
    </row>
    <row r="1487" spans="1:2" x14ac:dyDescent="0.25">
      <c r="A1487" s="170"/>
      <c r="B1487" s="170"/>
    </row>
    <row r="1488" spans="1:2" x14ac:dyDescent="0.25">
      <c r="A1488" s="170"/>
      <c r="B1488" s="170"/>
    </row>
    <row r="1489" spans="1:2" x14ac:dyDescent="0.25">
      <c r="A1489" s="170"/>
      <c r="B1489" s="170"/>
    </row>
    <row r="1490" spans="1:2" x14ac:dyDescent="0.25">
      <c r="A1490" s="170"/>
      <c r="B1490" s="170"/>
    </row>
    <row r="1491" spans="1:2" x14ac:dyDescent="0.25">
      <c r="A1491" s="170"/>
      <c r="B1491" s="170"/>
    </row>
    <row r="1492" spans="1:2" x14ac:dyDescent="0.25">
      <c r="A1492" s="170"/>
      <c r="B1492" s="170"/>
    </row>
    <row r="1493" spans="1:2" x14ac:dyDescent="0.25">
      <c r="A1493" s="170"/>
      <c r="B1493" s="170"/>
    </row>
    <row r="1494" spans="1:2" x14ac:dyDescent="0.25">
      <c r="A1494" s="170"/>
      <c r="B1494" s="170"/>
    </row>
    <row r="1495" spans="1:2" x14ac:dyDescent="0.25">
      <c r="A1495" s="170"/>
      <c r="B1495" s="170"/>
    </row>
    <row r="1496" spans="1:2" x14ac:dyDescent="0.25">
      <c r="A1496" s="170"/>
      <c r="B1496" s="170"/>
    </row>
    <row r="1497" spans="1:2" x14ac:dyDescent="0.25">
      <c r="A1497" s="170"/>
      <c r="B1497" s="170"/>
    </row>
    <row r="1498" spans="1:2" x14ac:dyDescent="0.25">
      <c r="A1498" s="170"/>
      <c r="B1498" s="170"/>
    </row>
    <row r="1499" spans="1:2" x14ac:dyDescent="0.25">
      <c r="A1499" s="170"/>
      <c r="B1499" s="170"/>
    </row>
    <row r="1500" spans="1:2" x14ac:dyDescent="0.25">
      <c r="A1500" s="170"/>
      <c r="B1500" s="170"/>
    </row>
    <row r="1501" spans="1:2" x14ac:dyDescent="0.25">
      <c r="A1501" s="170"/>
      <c r="B1501" s="170"/>
    </row>
    <row r="1502" spans="1:2" x14ac:dyDescent="0.25">
      <c r="A1502" s="170"/>
      <c r="B1502" s="170"/>
    </row>
    <row r="1503" spans="1:2" x14ac:dyDescent="0.25">
      <c r="A1503" s="170"/>
      <c r="B1503" s="170"/>
    </row>
    <row r="1504" spans="1:2" x14ac:dyDescent="0.25">
      <c r="A1504" s="170"/>
      <c r="B1504" s="170"/>
    </row>
    <row r="1505" spans="1:2" x14ac:dyDescent="0.25">
      <c r="A1505" s="170"/>
      <c r="B1505" s="170"/>
    </row>
    <row r="1506" spans="1:2" x14ac:dyDescent="0.25">
      <c r="A1506" s="170"/>
      <c r="B1506" s="170"/>
    </row>
    <row r="1507" spans="1:2" x14ac:dyDescent="0.25">
      <c r="A1507" s="170"/>
      <c r="B1507" s="170"/>
    </row>
    <row r="1508" spans="1:2" x14ac:dyDescent="0.25">
      <c r="A1508" s="170"/>
      <c r="B1508" s="170"/>
    </row>
    <row r="1509" spans="1:2" x14ac:dyDescent="0.25">
      <c r="A1509" s="170"/>
      <c r="B1509" s="170"/>
    </row>
    <row r="1510" spans="1:2" x14ac:dyDescent="0.25">
      <c r="A1510" s="170"/>
      <c r="B1510" s="170"/>
    </row>
    <row r="1511" spans="1:2" x14ac:dyDescent="0.25">
      <c r="A1511" s="170"/>
      <c r="B1511" s="170"/>
    </row>
    <row r="1512" spans="1:2" x14ac:dyDescent="0.25">
      <c r="A1512" s="170"/>
      <c r="B1512" s="170"/>
    </row>
    <row r="1513" spans="1:2" x14ac:dyDescent="0.25">
      <c r="A1513" s="170"/>
      <c r="B1513" s="170"/>
    </row>
    <row r="1514" spans="1:2" x14ac:dyDescent="0.25">
      <c r="A1514" s="170"/>
      <c r="B1514" s="170"/>
    </row>
    <row r="1515" spans="1:2" x14ac:dyDescent="0.25">
      <c r="A1515" s="170"/>
      <c r="B1515" s="170"/>
    </row>
    <row r="1516" spans="1:2" x14ac:dyDescent="0.25">
      <c r="A1516" s="170"/>
      <c r="B1516" s="170"/>
    </row>
    <row r="1517" spans="1:2" x14ac:dyDescent="0.25">
      <c r="A1517" s="170"/>
      <c r="B1517" s="170"/>
    </row>
    <row r="1518" spans="1:2" x14ac:dyDescent="0.25">
      <c r="A1518" s="170"/>
      <c r="B1518" s="170"/>
    </row>
    <row r="1519" spans="1:2" x14ac:dyDescent="0.25">
      <c r="A1519" s="170"/>
      <c r="B1519" s="170"/>
    </row>
    <row r="1520" spans="1:2" x14ac:dyDescent="0.25">
      <c r="A1520" s="170"/>
      <c r="B1520" s="170"/>
    </row>
    <row r="1521" spans="1:2" x14ac:dyDescent="0.25">
      <c r="A1521" s="170"/>
      <c r="B1521" s="170"/>
    </row>
    <row r="1522" spans="1:2" x14ac:dyDescent="0.25">
      <c r="A1522" s="170"/>
      <c r="B1522" s="170"/>
    </row>
    <row r="1523" spans="1:2" x14ac:dyDescent="0.25">
      <c r="A1523" s="170"/>
      <c r="B1523" s="170"/>
    </row>
    <row r="1524" spans="1:2" x14ac:dyDescent="0.25">
      <c r="A1524" s="170"/>
      <c r="B1524" s="170"/>
    </row>
    <row r="1525" spans="1:2" x14ac:dyDescent="0.25">
      <c r="A1525" s="170"/>
      <c r="B1525" s="170"/>
    </row>
    <row r="1526" spans="1:2" x14ac:dyDescent="0.25">
      <c r="A1526" s="170"/>
      <c r="B1526" s="170"/>
    </row>
    <row r="1527" spans="1:2" x14ac:dyDescent="0.25">
      <c r="A1527" s="170"/>
      <c r="B1527" s="170"/>
    </row>
    <row r="1528" spans="1:2" x14ac:dyDescent="0.25">
      <c r="A1528" s="170"/>
      <c r="B1528" s="170"/>
    </row>
    <row r="1529" spans="1:2" x14ac:dyDescent="0.25">
      <c r="A1529" s="170"/>
      <c r="B1529" s="170"/>
    </row>
    <row r="1530" spans="1:2" x14ac:dyDescent="0.25">
      <c r="A1530" s="170"/>
      <c r="B1530" s="170"/>
    </row>
    <row r="1531" spans="1:2" x14ac:dyDescent="0.25">
      <c r="A1531" s="170"/>
      <c r="B1531" s="170"/>
    </row>
    <row r="1532" spans="1:2" x14ac:dyDescent="0.25">
      <c r="A1532" s="170"/>
      <c r="B1532" s="170"/>
    </row>
    <row r="1533" spans="1:2" x14ac:dyDescent="0.25">
      <c r="A1533" s="170"/>
      <c r="B1533" s="170"/>
    </row>
    <row r="1534" spans="1:2" x14ac:dyDescent="0.25">
      <c r="A1534" s="170"/>
      <c r="B1534" s="170"/>
    </row>
    <row r="1535" spans="1:2" x14ac:dyDescent="0.25">
      <c r="A1535" s="170"/>
      <c r="B1535" s="170"/>
    </row>
    <row r="1536" spans="1:2" x14ac:dyDescent="0.25">
      <c r="A1536" s="170"/>
      <c r="B1536" s="170"/>
    </row>
    <row r="1537" spans="1:2" x14ac:dyDescent="0.25">
      <c r="A1537" s="170"/>
      <c r="B1537" s="170"/>
    </row>
    <row r="1538" spans="1:2" x14ac:dyDescent="0.25">
      <c r="A1538" s="170"/>
      <c r="B1538" s="170"/>
    </row>
    <row r="1539" spans="1:2" x14ac:dyDescent="0.25">
      <c r="A1539" s="170"/>
      <c r="B1539" s="170"/>
    </row>
    <row r="1540" spans="1:2" x14ac:dyDescent="0.25">
      <c r="A1540" s="170"/>
      <c r="B1540" s="170"/>
    </row>
    <row r="1541" spans="1:2" x14ac:dyDescent="0.25">
      <c r="A1541" s="170"/>
      <c r="B1541" s="170"/>
    </row>
    <row r="1542" spans="1:2" x14ac:dyDescent="0.25">
      <c r="A1542" s="170"/>
      <c r="B1542" s="170"/>
    </row>
    <row r="1543" spans="1:2" x14ac:dyDescent="0.25">
      <c r="A1543" s="170"/>
      <c r="B1543" s="170"/>
    </row>
    <row r="1544" spans="1:2" x14ac:dyDescent="0.25">
      <c r="A1544" s="170"/>
      <c r="B1544" s="170"/>
    </row>
    <row r="1545" spans="1:2" x14ac:dyDescent="0.25">
      <c r="A1545" s="170"/>
      <c r="B1545" s="170"/>
    </row>
    <row r="1546" spans="1:2" x14ac:dyDescent="0.25">
      <c r="A1546" s="170"/>
      <c r="B1546" s="170"/>
    </row>
    <row r="1547" spans="1:2" x14ac:dyDescent="0.25">
      <c r="A1547" s="170"/>
      <c r="B1547" s="170"/>
    </row>
    <row r="1548" spans="1:2" x14ac:dyDescent="0.25">
      <c r="A1548" s="170"/>
      <c r="B1548" s="170"/>
    </row>
    <row r="1549" spans="1:2" x14ac:dyDescent="0.25">
      <c r="A1549" s="170"/>
      <c r="B1549" s="170"/>
    </row>
    <row r="1550" spans="1:2" x14ac:dyDescent="0.25">
      <c r="A1550" s="170"/>
      <c r="B1550" s="170"/>
    </row>
    <row r="1551" spans="1:2" x14ac:dyDescent="0.25">
      <c r="A1551" s="170"/>
      <c r="B1551" s="170"/>
    </row>
    <row r="1552" spans="1:2" x14ac:dyDescent="0.25">
      <c r="A1552" s="170"/>
      <c r="B1552" s="170"/>
    </row>
    <row r="1553" spans="1:2" x14ac:dyDescent="0.25">
      <c r="A1553" s="170"/>
      <c r="B1553" s="170"/>
    </row>
    <row r="1554" spans="1:2" x14ac:dyDescent="0.25">
      <c r="A1554" s="170"/>
      <c r="B1554" s="170"/>
    </row>
    <row r="1555" spans="1:2" x14ac:dyDescent="0.25">
      <c r="A1555" s="170"/>
      <c r="B1555" s="170"/>
    </row>
    <row r="1556" spans="1:2" x14ac:dyDescent="0.25">
      <c r="A1556" s="170"/>
      <c r="B1556" s="170"/>
    </row>
    <row r="1557" spans="1:2" x14ac:dyDescent="0.25">
      <c r="A1557" s="170"/>
      <c r="B1557" s="170"/>
    </row>
    <row r="1558" spans="1:2" x14ac:dyDescent="0.25">
      <c r="A1558" s="170"/>
      <c r="B1558" s="170"/>
    </row>
    <row r="1559" spans="1:2" x14ac:dyDescent="0.25">
      <c r="A1559" s="170"/>
      <c r="B1559" s="170"/>
    </row>
    <row r="1560" spans="1:2" x14ac:dyDescent="0.25">
      <c r="A1560" s="170"/>
      <c r="B1560" s="170"/>
    </row>
    <row r="1561" spans="1:2" x14ac:dyDescent="0.25">
      <c r="A1561" s="170"/>
      <c r="B1561" s="170"/>
    </row>
    <row r="1562" spans="1:2" x14ac:dyDescent="0.25">
      <c r="A1562" s="170"/>
      <c r="B1562" s="170"/>
    </row>
    <row r="1563" spans="1:2" x14ac:dyDescent="0.25">
      <c r="A1563" s="170"/>
      <c r="B1563" s="170"/>
    </row>
    <row r="1564" spans="1:2" x14ac:dyDescent="0.25">
      <c r="A1564" s="170"/>
      <c r="B1564" s="170"/>
    </row>
    <row r="1565" spans="1:2" x14ac:dyDescent="0.25">
      <c r="A1565" s="170"/>
      <c r="B1565" s="170"/>
    </row>
    <row r="1566" spans="1:2" x14ac:dyDescent="0.25">
      <c r="A1566" s="170"/>
      <c r="B1566" s="170"/>
    </row>
    <row r="1567" spans="1:2" x14ac:dyDescent="0.25">
      <c r="A1567" s="170"/>
      <c r="B1567" s="170"/>
    </row>
    <row r="1568" spans="1:2" x14ac:dyDescent="0.25">
      <c r="A1568" s="170"/>
      <c r="B1568" s="170"/>
    </row>
    <row r="1569" spans="1:2" x14ac:dyDescent="0.25">
      <c r="A1569" s="170"/>
      <c r="B1569" s="170"/>
    </row>
    <row r="1570" spans="1:2" x14ac:dyDescent="0.25">
      <c r="A1570" s="170"/>
      <c r="B1570" s="170"/>
    </row>
    <row r="1571" spans="1:2" x14ac:dyDescent="0.25">
      <c r="A1571" s="170"/>
      <c r="B1571" s="170"/>
    </row>
    <row r="1572" spans="1:2" x14ac:dyDescent="0.25">
      <c r="A1572" s="170"/>
      <c r="B1572" s="170"/>
    </row>
    <row r="1573" spans="1:2" x14ac:dyDescent="0.25">
      <c r="A1573" s="170"/>
      <c r="B1573" s="170"/>
    </row>
    <row r="1574" spans="1:2" x14ac:dyDescent="0.25">
      <c r="A1574" s="170"/>
      <c r="B1574" s="170"/>
    </row>
    <row r="1575" spans="1:2" x14ac:dyDescent="0.25">
      <c r="A1575" s="170"/>
      <c r="B1575" s="170"/>
    </row>
    <row r="1576" spans="1:2" x14ac:dyDescent="0.25">
      <c r="A1576" s="170"/>
      <c r="B1576" s="170"/>
    </row>
    <row r="1577" spans="1:2" x14ac:dyDescent="0.25">
      <c r="A1577" s="170"/>
      <c r="B1577" s="170"/>
    </row>
    <row r="1578" spans="1:2" x14ac:dyDescent="0.25">
      <c r="A1578" s="170"/>
      <c r="B1578" s="170"/>
    </row>
    <row r="1579" spans="1:2" x14ac:dyDescent="0.25">
      <c r="A1579" s="170"/>
      <c r="B1579" s="170"/>
    </row>
    <row r="1580" spans="1:2" x14ac:dyDescent="0.25">
      <c r="A1580" s="170"/>
      <c r="B1580" s="170"/>
    </row>
    <row r="1581" spans="1:2" x14ac:dyDescent="0.25">
      <c r="A1581" s="170"/>
      <c r="B1581" s="170"/>
    </row>
    <row r="1582" spans="1:2" x14ac:dyDescent="0.25">
      <c r="A1582" s="170"/>
      <c r="B1582" s="170"/>
    </row>
    <row r="1583" spans="1:2" x14ac:dyDescent="0.25">
      <c r="A1583" s="170"/>
      <c r="B1583" s="170"/>
    </row>
    <row r="1584" spans="1:2" x14ac:dyDescent="0.25">
      <c r="A1584" s="170"/>
      <c r="B1584" s="170"/>
    </row>
    <row r="1585" spans="1:2" x14ac:dyDescent="0.25">
      <c r="A1585" s="170"/>
      <c r="B1585" s="170"/>
    </row>
    <row r="1586" spans="1:2" x14ac:dyDescent="0.25">
      <c r="A1586" s="170"/>
      <c r="B1586" s="170"/>
    </row>
    <row r="1587" spans="1:2" x14ac:dyDescent="0.25">
      <c r="A1587" s="170"/>
      <c r="B1587" s="170"/>
    </row>
    <row r="1588" spans="1:2" x14ac:dyDescent="0.25">
      <c r="A1588" s="170"/>
      <c r="B1588" s="170"/>
    </row>
    <row r="1589" spans="1:2" x14ac:dyDescent="0.25">
      <c r="A1589" s="170"/>
      <c r="B1589" s="170"/>
    </row>
    <row r="1590" spans="1:2" x14ac:dyDescent="0.25">
      <c r="A1590" s="170"/>
      <c r="B1590" s="170"/>
    </row>
    <row r="1591" spans="1:2" x14ac:dyDescent="0.25">
      <c r="A1591" s="170"/>
      <c r="B1591" s="170"/>
    </row>
    <row r="1592" spans="1:2" x14ac:dyDescent="0.25">
      <c r="A1592" s="170"/>
      <c r="B1592" s="170"/>
    </row>
    <row r="1593" spans="1:2" x14ac:dyDescent="0.25">
      <c r="A1593" s="170"/>
      <c r="B1593" s="170"/>
    </row>
    <row r="1594" spans="1:2" x14ac:dyDescent="0.25">
      <c r="A1594" s="170"/>
      <c r="B1594" s="170"/>
    </row>
    <row r="1595" spans="1:2" x14ac:dyDescent="0.25">
      <c r="A1595" s="170"/>
      <c r="B1595" s="170"/>
    </row>
    <row r="1596" spans="1:2" x14ac:dyDescent="0.25">
      <c r="A1596" s="170"/>
      <c r="B1596" s="170"/>
    </row>
    <row r="1597" spans="1:2" x14ac:dyDescent="0.25">
      <c r="A1597" s="170"/>
      <c r="B1597" s="170"/>
    </row>
    <row r="1598" spans="1:2" x14ac:dyDescent="0.25">
      <c r="A1598" s="170"/>
      <c r="B1598" s="170"/>
    </row>
    <row r="1599" spans="1:2" x14ac:dyDescent="0.25">
      <c r="A1599" s="170"/>
      <c r="B1599" s="170"/>
    </row>
    <row r="1600" spans="1:2" x14ac:dyDescent="0.25">
      <c r="A1600" s="170"/>
      <c r="B1600" s="170"/>
    </row>
    <row r="1601" spans="1:2" x14ac:dyDescent="0.25">
      <c r="A1601" s="170"/>
      <c r="B1601" s="170"/>
    </row>
    <row r="1602" spans="1:2" x14ac:dyDescent="0.25">
      <c r="A1602" s="170"/>
      <c r="B1602" s="170"/>
    </row>
    <row r="1603" spans="1:2" x14ac:dyDescent="0.25">
      <c r="A1603" s="170"/>
      <c r="B1603" s="170"/>
    </row>
    <row r="1604" spans="1:2" x14ac:dyDescent="0.25">
      <c r="A1604" s="170"/>
      <c r="B1604" s="170"/>
    </row>
    <row r="1605" spans="1:2" x14ac:dyDescent="0.25">
      <c r="A1605" s="170"/>
      <c r="B1605" s="170"/>
    </row>
    <row r="1606" spans="1:2" x14ac:dyDescent="0.25">
      <c r="A1606" s="170"/>
      <c r="B1606" s="170"/>
    </row>
    <row r="1607" spans="1:2" x14ac:dyDescent="0.25">
      <c r="A1607" s="170"/>
      <c r="B1607" s="170"/>
    </row>
    <row r="1608" spans="1:2" x14ac:dyDescent="0.25">
      <c r="A1608" s="170"/>
      <c r="B1608" s="170"/>
    </row>
    <row r="1609" spans="1:2" x14ac:dyDescent="0.25">
      <c r="A1609" s="170"/>
      <c r="B1609" s="170"/>
    </row>
    <row r="1610" spans="1:2" x14ac:dyDescent="0.25">
      <c r="A1610" s="170"/>
      <c r="B1610" s="170"/>
    </row>
    <row r="1611" spans="1:2" x14ac:dyDescent="0.25">
      <c r="A1611" s="170"/>
      <c r="B1611" s="170"/>
    </row>
    <row r="1612" spans="1:2" x14ac:dyDescent="0.25">
      <c r="A1612" s="170"/>
      <c r="B1612" s="170"/>
    </row>
    <row r="1613" spans="1:2" x14ac:dyDescent="0.25">
      <c r="A1613" s="170"/>
      <c r="B1613" s="170"/>
    </row>
    <row r="1614" spans="1:2" x14ac:dyDescent="0.25">
      <c r="A1614" s="170"/>
      <c r="B1614" s="170"/>
    </row>
    <row r="1615" spans="1:2" x14ac:dyDescent="0.25">
      <c r="A1615" s="170"/>
      <c r="B1615" s="170"/>
    </row>
    <row r="1616" spans="1:2" x14ac:dyDescent="0.25">
      <c r="A1616" s="170"/>
      <c r="B1616" s="170"/>
    </row>
    <row r="1617" spans="1:2" x14ac:dyDescent="0.25">
      <c r="A1617" s="170"/>
      <c r="B1617" s="170"/>
    </row>
    <row r="1618" spans="1:2" x14ac:dyDescent="0.25">
      <c r="A1618" s="170"/>
      <c r="B1618" s="170"/>
    </row>
    <row r="1619" spans="1:2" x14ac:dyDescent="0.25">
      <c r="A1619" s="170"/>
      <c r="B1619" s="170"/>
    </row>
    <row r="1620" spans="1:2" x14ac:dyDescent="0.25">
      <c r="A1620" s="170"/>
      <c r="B1620" s="170"/>
    </row>
    <row r="1621" spans="1:2" x14ac:dyDescent="0.25">
      <c r="A1621" s="170"/>
      <c r="B1621" s="170"/>
    </row>
    <row r="1622" spans="1:2" x14ac:dyDescent="0.25">
      <c r="A1622" s="170"/>
      <c r="B1622" s="170"/>
    </row>
    <row r="1623" spans="1:2" x14ac:dyDescent="0.25">
      <c r="A1623" s="170"/>
      <c r="B1623" s="170"/>
    </row>
    <row r="1624" spans="1:2" x14ac:dyDescent="0.25">
      <c r="A1624" s="170"/>
      <c r="B1624" s="170"/>
    </row>
    <row r="1625" spans="1:2" x14ac:dyDescent="0.25">
      <c r="A1625" s="170"/>
      <c r="B1625" s="170"/>
    </row>
    <row r="1626" spans="1:2" x14ac:dyDescent="0.25">
      <c r="A1626" s="170"/>
      <c r="B1626" s="170"/>
    </row>
    <row r="1627" spans="1:2" x14ac:dyDescent="0.25">
      <c r="A1627" s="170"/>
      <c r="B1627" s="170"/>
    </row>
    <row r="1628" spans="1:2" x14ac:dyDescent="0.25">
      <c r="A1628" s="170"/>
      <c r="B1628" s="170"/>
    </row>
    <row r="1629" spans="1:2" x14ac:dyDescent="0.25">
      <c r="A1629" s="170"/>
      <c r="B1629" s="170"/>
    </row>
    <row r="1630" spans="1:2" x14ac:dyDescent="0.25">
      <c r="A1630" s="170"/>
      <c r="B1630" s="170"/>
    </row>
    <row r="1631" spans="1:2" x14ac:dyDescent="0.25">
      <c r="A1631" s="170"/>
      <c r="B1631" s="170"/>
    </row>
    <row r="1632" spans="1:2" x14ac:dyDescent="0.25">
      <c r="A1632" s="170"/>
      <c r="B1632" s="170"/>
    </row>
    <row r="1633" spans="1:2" x14ac:dyDescent="0.25">
      <c r="A1633" s="170"/>
      <c r="B1633" s="170"/>
    </row>
    <row r="1634" spans="1:2" x14ac:dyDescent="0.25">
      <c r="A1634" s="170"/>
      <c r="B1634" s="170"/>
    </row>
    <row r="1635" spans="1:2" x14ac:dyDescent="0.25">
      <c r="A1635" s="170"/>
      <c r="B1635" s="170"/>
    </row>
    <row r="1636" spans="1:2" x14ac:dyDescent="0.25">
      <c r="A1636" s="170"/>
      <c r="B1636" s="170"/>
    </row>
    <row r="1637" spans="1:2" x14ac:dyDescent="0.25">
      <c r="A1637" s="170"/>
      <c r="B1637" s="170"/>
    </row>
    <row r="1638" spans="1:2" x14ac:dyDescent="0.25">
      <c r="A1638" s="170"/>
      <c r="B1638" s="170"/>
    </row>
    <row r="1639" spans="1:2" x14ac:dyDescent="0.25">
      <c r="A1639" s="170"/>
      <c r="B1639" s="170"/>
    </row>
    <row r="1640" spans="1:2" x14ac:dyDescent="0.25">
      <c r="A1640" s="170"/>
      <c r="B1640" s="170"/>
    </row>
    <row r="1641" spans="1:2" x14ac:dyDescent="0.25">
      <c r="A1641" s="170"/>
      <c r="B1641" s="170"/>
    </row>
    <row r="1642" spans="1:2" x14ac:dyDescent="0.25">
      <c r="A1642" s="170"/>
      <c r="B1642" s="170"/>
    </row>
    <row r="1643" spans="1:2" x14ac:dyDescent="0.25">
      <c r="A1643" s="170"/>
      <c r="B1643" s="170"/>
    </row>
    <row r="1644" spans="1:2" x14ac:dyDescent="0.25">
      <c r="A1644" s="170"/>
      <c r="B1644" s="170"/>
    </row>
    <row r="1645" spans="1:2" x14ac:dyDescent="0.25">
      <c r="A1645" s="170"/>
      <c r="B1645" s="170"/>
    </row>
    <row r="1646" spans="1:2" x14ac:dyDescent="0.25">
      <c r="A1646" s="170"/>
      <c r="B1646" s="170"/>
    </row>
    <row r="1647" spans="1:2" x14ac:dyDescent="0.25">
      <c r="A1647" s="170"/>
      <c r="B1647" s="170"/>
    </row>
    <row r="1648" spans="1:2" x14ac:dyDescent="0.25">
      <c r="A1648" s="170"/>
      <c r="B1648" s="170"/>
    </row>
    <row r="1649" spans="1:2" x14ac:dyDescent="0.25">
      <c r="A1649" s="170"/>
      <c r="B1649" s="170"/>
    </row>
    <row r="1650" spans="1:2" x14ac:dyDescent="0.25">
      <c r="A1650" s="170"/>
      <c r="B1650" s="170"/>
    </row>
    <row r="1651" spans="1:2" x14ac:dyDescent="0.25">
      <c r="A1651" s="170"/>
      <c r="B1651" s="170"/>
    </row>
    <row r="1652" spans="1:2" x14ac:dyDescent="0.25">
      <c r="A1652" s="170"/>
      <c r="B1652" s="170"/>
    </row>
    <row r="1653" spans="1:2" x14ac:dyDescent="0.25">
      <c r="A1653" s="170"/>
      <c r="B1653" s="170"/>
    </row>
    <row r="1654" spans="1:2" x14ac:dyDescent="0.25">
      <c r="A1654" s="170"/>
      <c r="B1654" s="170"/>
    </row>
    <row r="1655" spans="1:2" x14ac:dyDescent="0.25">
      <c r="A1655" s="170"/>
      <c r="B1655" s="170"/>
    </row>
    <row r="1656" spans="1:2" x14ac:dyDescent="0.25">
      <c r="A1656" s="170"/>
      <c r="B1656" s="170"/>
    </row>
    <row r="1657" spans="1:2" x14ac:dyDescent="0.25">
      <c r="A1657" s="170"/>
      <c r="B1657" s="170"/>
    </row>
    <row r="1658" spans="1:2" x14ac:dyDescent="0.25">
      <c r="A1658" s="170"/>
      <c r="B1658" s="170"/>
    </row>
    <row r="1659" spans="1:2" x14ac:dyDescent="0.25">
      <c r="A1659" s="170"/>
      <c r="B1659" s="170"/>
    </row>
    <row r="1660" spans="1:2" x14ac:dyDescent="0.25">
      <c r="A1660" s="170"/>
      <c r="B1660" s="170"/>
    </row>
    <row r="1661" spans="1:2" x14ac:dyDescent="0.25">
      <c r="A1661" s="170"/>
      <c r="B1661" s="170"/>
    </row>
    <row r="1662" spans="1:2" x14ac:dyDescent="0.25">
      <c r="A1662" s="170"/>
      <c r="B1662" s="170"/>
    </row>
    <row r="1663" spans="1:2" x14ac:dyDescent="0.25">
      <c r="A1663" s="170"/>
      <c r="B1663" s="170"/>
    </row>
    <row r="1664" spans="1:2" x14ac:dyDescent="0.25">
      <c r="A1664" s="170"/>
      <c r="B1664" s="170"/>
    </row>
    <row r="1665" spans="1:2" x14ac:dyDescent="0.25">
      <c r="A1665" s="170"/>
      <c r="B1665" s="170"/>
    </row>
    <row r="1666" spans="1:2" x14ac:dyDescent="0.25">
      <c r="A1666" s="170"/>
      <c r="B1666" s="170"/>
    </row>
    <row r="1667" spans="1:2" x14ac:dyDescent="0.25">
      <c r="A1667" s="170"/>
      <c r="B1667" s="170"/>
    </row>
    <row r="1668" spans="1:2" x14ac:dyDescent="0.25">
      <c r="A1668" s="170"/>
      <c r="B1668" s="170"/>
    </row>
    <row r="1669" spans="1:2" x14ac:dyDescent="0.25">
      <c r="A1669" s="170"/>
      <c r="B1669" s="170"/>
    </row>
    <row r="1670" spans="1:2" x14ac:dyDescent="0.25">
      <c r="A1670" s="170"/>
      <c r="B1670" s="170"/>
    </row>
    <row r="1671" spans="1:2" x14ac:dyDescent="0.25">
      <c r="A1671" s="170"/>
      <c r="B1671" s="170"/>
    </row>
    <row r="1672" spans="1:2" x14ac:dyDescent="0.25">
      <c r="A1672" s="170"/>
      <c r="B1672" s="170"/>
    </row>
    <row r="1673" spans="1:2" x14ac:dyDescent="0.25">
      <c r="A1673" s="170"/>
      <c r="B1673" s="170"/>
    </row>
    <row r="1674" spans="1:2" x14ac:dyDescent="0.25">
      <c r="A1674" s="170"/>
      <c r="B1674" s="170"/>
    </row>
    <row r="1675" spans="1:2" x14ac:dyDescent="0.25">
      <c r="A1675" s="170"/>
      <c r="B1675" s="170"/>
    </row>
    <row r="1676" spans="1:2" x14ac:dyDescent="0.25">
      <c r="A1676" s="170"/>
      <c r="B1676" s="170"/>
    </row>
    <row r="1677" spans="1:2" x14ac:dyDescent="0.25">
      <c r="A1677" s="170"/>
      <c r="B1677" s="170"/>
    </row>
    <row r="1678" spans="1:2" x14ac:dyDescent="0.25">
      <c r="A1678" s="170"/>
      <c r="B1678" s="170"/>
    </row>
    <row r="1679" spans="1:2" x14ac:dyDescent="0.25">
      <c r="A1679" s="170"/>
      <c r="B1679" s="170"/>
    </row>
    <row r="1680" spans="1:2" x14ac:dyDescent="0.25">
      <c r="A1680" s="170"/>
      <c r="B1680" s="170"/>
    </row>
    <row r="1681" spans="1:2" x14ac:dyDescent="0.25">
      <c r="A1681" s="170"/>
      <c r="B1681" s="170"/>
    </row>
    <row r="1682" spans="1:2" x14ac:dyDescent="0.25">
      <c r="A1682" s="170"/>
      <c r="B1682" s="170"/>
    </row>
    <row r="1683" spans="1:2" x14ac:dyDescent="0.25">
      <c r="A1683" s="170"/>
      <c r="B1683" s="170"/>
    </row>
    <row r="1684" spans="1:2" x14ac:dyDescent="0.25">
      <c r="A1684" s="170"/>
      <c r="B1684" s="170"/>
    </row>
    <row r="1685" spans="1:2" x14ac:dyDescent="0.25">
      <c r="A1685" s="170"/>
      <c r="B1685" s="170"/>
    </row>
    <row r="1686" spans="1:2" x14ac:dyDescent="0.25">
      <c r="A1686" s="170"/>
      <c r="B1686" s="170"/>
    </row>
    <row r="1687" spans="1:2" x14ac:dyDescent="0.25">
      <c r="A1687" s="170"/>
      <c r="B1687" s="170"/>
    </row>
    <row r="1688" spans="1:2" x14ac:dyDescent="0.25">
      <c r="A1688" s="170"/>
      <c r="B1688" s="170"/>
    </row>
    <row r="1689" spans="1:2" x14ac:dyDescent="0.25">
      <c r="A1689" s="170"/>
      <c r="B1689" s="170"/>
    </row>
    <row r="1690" spans="1:2" x14ac:dyDescent="0.25">
      <c r="A1690" s="170"/>
      <c r="B1690" s="170"/>
    </row>
    <row r="1691" spans="1:2" x14ac:dyDescent="0.25">
      <c r="A1691" s="170"/>
      <c r="B1691" s="170"/>
    </row>
    <row r="1692" spans="1:2" x14ac:dyDescent="0.25">
      <c r="A1692" s="170"/>
      <c r="B1692" s="170"/>
    </row>
    <row r="1693" spans="1:2" x14ac:dyDescent="0.25">
      <c r="A1693" s="170"/>
      <c r="B1693" s="170"/>
    </row>
    <row r="1694" spans="1:2" x14ac:dyDescent="0.25">
      <c r="A1694" s="170"/>
      <c r="B1694" s="170"/>
    </row>
    <row r="1695" spans="1:2" x14ac:dyDescent="0.25">
      <c r="A1695" s="170"/>
      <c r="B1695" s="170"/>
    </row>
    <row r="1696" spans="1:2" x14ac:dyDescent="0.25">
      <c r="A1696" s="170"/>
      <c r="B1696" s="170"/>
    </row>
    <row r="1697" spans="1:2" x14ac:dyDescent="0.25">
      <c r="A1697" s="170"/>
      <c r="B1697" s="170"/>
    </row>
    <row r="1698" spans="1:2" x14ac:dyDescent="0.25">
      <c r="A1698" s="170"/>
      <c r="B1698" s="170"/>
    </row>
    <row r="1699" spans="1:2" x14ac:dyDescent="0.25">
      <c r="A1699" s="170"/>
      <c r="B1699" s="170"/>
    </row>
    <row r="1700" spans="1:2" x14ac:dyDescent="0.25">
      <c r="A1700" s="170"/>
      <c r="B1700" s="170"/>
    </row>
    <row r="1701" spans="1:2" x14ac:dyDescent="0.25">
      <c r="A1701" s="170"/>
      <c r="B1701" s="170"/>
    </row>
    <row r="1702" spans="1:2" x14ac:dyDescent="0.25">
      <c r="A1702" s="170"/>
      <c r="B1702" s="170"/>
    </row>
    <row r="1703" spans="1:2" x14ac:dyDescent="0.25">
      <c r="A1703" s="170"/>
      <c r="B1703" s="170"/>
    </row>
    <row r="1704" spans="1:2" x14ac:dyDescent="0.25">
      <c r="A1704" s="170"/>
      <c r="B1704" s="170"/>
    </row>
    <row r="1705" spans="1:2" x14ac:dyDescent="0.25">
      <c r="A1705" s="170"/>
      <c r="B1705" s="170"/>
    </row>
    <row r="1706" spans="1:2" x14ac:dyDescent="0.25">
      <c r="A1706" s="170"/>
      <c r="B1706" s="170"/>
    </row>
    <row r="1707" spans="1:2" x14ac:dyDescent="0.25">
      <c r="A1707" s="170"/>
      <c r="B1707" s="170"/>
    </row>
    <row r="1708" spans="1:2" x14ac:dyDescent="0.25">
      <c r="A1708" s="170"/>
      <c r="B1708" s="170"/>
    </row>
    <row r="1709" spans="1:2" x14ac:dyDescent="0.25">
      <c r="A1709" s="170"/>
      <c r="B1709" s="170"/>
    </row>
    <row r="1710" spans="1:2" x14ac:dyDescent="0.25">
      <c r="A1710" s="170"/>
      <c r="B1710" s="170"/>
    </row>
    <row r="1711" spans="1:2" x14ac:dyDescent="0.25">
      <c r="A1711" s="170"/>
      <c r="B1711" s="170"/>
    </row>
    <row r="1712" spans="1:2" x14ac:dyDescent="0.25">
      <c r="A1712" s="170"/>
      <c r="B1712" s="170"/>
    </row>
    <row r="1713" spans="1:2" x14ac:dyDescent="0.25">
      <c r="A1713" s="170"/>
      <c r="B1713" s="170"/>
    </row>
    <row r="1714" spans="1:2" x14ac:dyDescent="0.25">
      <c r="A1714" s="170"/>
      <c r="B1714" s="170"/>
    </row>
    <row r="1715" spans="1:2" x14ac:dyDescent="0.25">
      <c r="A1715" s="170"/>
      <c r="B1715" s="170"/>
    </row>
    <row r="1716" spans="1:2" x14ac:dyDescent="0.25">
      <c r="A1716" s="170"/>
      <c r="B1716" s="170"/>
    </row>
    <row r="1717" spans="1:2" x14ac:dyDescent="0.25">
      <c r="A1717" s="170"/>
      <c r="B1717" s="170"/>
    </row>
    <row r="1718" spans="1:2" x14ac:dyDescent="0.25">
      <c r="A1718" s="170"/>
      <c r="B1718" s="170"/>
    </row>
    <row r="1719" spans="1:2" x14ac:dyDescent="0.25">
      <c r="A1719" s="170"/>
      <c r="B1719" s="170"/>
    </row>
    <row r="1720" spans="1:2" x14ac:dyDescent="0.25">
      <c r="A1720" s="170"/>
      <c r="B1720" s="170"/>
    </row>
    <row r="1721" spans="1:2" x14ac:dyDescent="0.25">
      <c r="A1721" s="170"/>
      <c r="B1721" s="170"/>
    </row>
    <row r="1722" spans="1:2" x14ac:dyDescent="0.25">
      <c r="A1722" s="170"/>
      <c r="B1722" s="170"/>
    </row>
    <row r="1723" spans="1:2" x14ac:dyDescent="0.25">
      <c r="A1723" s="170"/>
      <c r="B1723" s="170"/>
    </row>
    <row r="1724" spans="1:2" x14ac:dyDescent="0.25">
      <c r="A1724" s="170"/>
      <c r="B1724" s="170"/>
    </row>
    <row r="1725" spans="1:2" x14ac:dyDescent="0.25">
      <c r="A1725" s="170"/>
      <c r="B1725" s="170"/>
    </row>
    <row r="1726" spans="1:2" x14ac:dyDescent="0.25">
      <c r="A1726" s="170"/>
      <c r="B1726" s="170"/>
    </row>
    <row r="1727" spans="1:2" x14ac:dyDescent="0.25">
      <c r="A1727" s="170"/>
      <c r="B1727" s="170"/>
    </row>
    <row r="1728" spans="1:2" x14ac:dyDescent="0.25">
      <c r="A1728" s="170"/>
      <c r="B1728" s="170"/>
    </row>
    <row r="1729" spans="1:2" x14ac:dyDescent="0.25">
      <c r="A1729" s="170"/>
      <c r="B1729" s="170"/>
    </row>
    <row r="1730" spans="1:2" x14ac:dyDescent="0.25">
      <c r="A1730" s="170"/>
      <c r="B1730" s="170"/>
    </row>
    <row r="1731" spans="1:2" x14ac:dyDescent="0.25">
      <c r="A1731" s="170"/>
      <c r="B1731" s="170"/>
    </row>
    <row r="1732" spans="1:2" x14ac:dyDescent="0.25">
      <c r="A1732" s="170"/>
      <c r="B1732" s="170"/>
    </row>
    <row r="1733" spans="1:2" x14ac:dyDescent="0.25">
      <c r="A1733" s="170"/>
      <c r="B1733" s="170"/>
    </row>
    <row r="1734" spans="1:2" x14ac:dyDescent="0.25">
      <c r="A1734" s="170"/>
      <c r="B1734" s="170"/>
    </row>
    <row r="1735" spans="1:2" x14ac:dyDescent="0.25">
      <c r="A1735" s="170"/>
      <c r="B1735" s="170"/>
    </row>
    <row r="1736" spans="1:2" x14ac:dyDescent="0.25">
      <c r="A1736" s="170"/>
      <c r="B1736" s="170"/>
    </row>
    <row r="1737" spans="1:2" x14ac:dyDescent="0.25">
      <c r="A1737" s="170"/>
      <c r="B1737" s="170"/>
    </row>
    <row r="1738" spans="1:2" x14ac:dyDescent="0.25">
      <c r="A1738" s="170"/>
      <c r="B1738" s="170"/>
    </row>
    <row r="1739" spans="1:2" x14ac:dyDescent="0.25">
      <c r="A1739" s="170"/>
      <c r="B1739" s="170"/>
    </row>
    <row r="1740" spans="1:2" x14ac:dyDescent="0.25">
      <c r="A1740" s="170"/>
      <c r="B1740" s="170"/>
    </row>
    <row r="1741" spans="1:2" x14ac:dyDescent="0.25">
      <c r="A1741" s="170"/>
      <c r="B1741" s="170"/>
    </row>
    <row r="1742" spans="1:2" x14ac:dyDescent="0.25">
      <c r="A1742" s="170"/>
      <c r="B1742" s="170"/>
    </row>
    <row r="1743" spans="1:2" x14ac:dyDescent="0.25">
      <c r="A1743" s="170"/>
      <c r="B1743" s="170"/>
    </row>
    <row r="1744" spans="1:2" x14ac:dyDescent="0.25">
      <c r="A1744" s="170"/>
      <c r="B1744" s="170"/>
    </row>
    <row r="1745" spans="1:2" x14ac:dyDescent="0.25">
      <c r="A1745" s="170"/>
      <c r="B1745" s="170"/>
    </row>
    <row r="1746" spans="1:2" x14ac:dyDescent="0.25">
      <c r="A1746" s="170"/>
      <c r="B1746" s="170"/>
    </row>
    <row r="1747" spans="1:2" x14ac:dyDescent="0.25">
      <c r="A1747" s="170"/>
      <c r="B1747" s="170"/>
    </row>
    <row r="1748" spans="1:2" x14ac:dyDescent="0.25">
      <c r="A1748" s="170"/>
      <c r="B1748" s="170"/>
    </row>
    <row r="1749" spans="1:2" x14ac:dyDescent="0.25">
      <c r="A1749" s="170"/>
      <c r="B1749" s="170"/>
    </row>
    <row r="1750" spans="1:2" x14ac:dyDescent="0.25">
      <c r="A1750" s="170"/>
      <c r="B1750" s="170"/>
    </row>
    <row r="1751" spans="1:2" x14ac:dyDescent="0.25">
      <c r="A1751" s="170"/>
      <c r="B1751" s="170"/>
    </row>
    <row r="1752" spans="1:2" x14ac:dyDescent="0.25">
      <c r="A1752" s="170"/>
      <c r="B1752" s="170"/>
    </row>
    <row r="1753" spans="1:2" x14ac:dyDescent="0.25">
      <c r="A1753" s="170"/>
      <c r="B1753" s="170"/>
    </row>
    <row r="1754" spans="1:2" x14ac:dyDescent="0.25">
      <c r="A1754" s="170"/>
      <c r="B1754" s="170"/>
    </row>
    <row r="1755" spans="1:2" x14ac:dyDescent="0.25">
      <c r="A1755" s="170"/>
      <c r="B1755" s="170"/>
    </row>
    <row r="1756" spans="1:2" x14ac:dyDescent="0.25">
      <c r="A1756" s="170"/>
      <c r="B1756" s="170"/>
    </row>
    <row r="1757" spans="1:2" x14ac:dyDescent="0.25">
      <c r="A1757" s="170"/>
      <c r="B1757" s="170"/>
    </row>
    <row r="1758" spans="1:2" x14ac:dyDescent="0.25">
      <c r="A1758" s="170"/>
      <c r="B1758" s="170"/>
    </row>
    <row r="1759" spans="1:2" x14ac:dyDescent="0.25">
      <c r="A1759" s="170"/>
      <c r="B1759" s="170"/>
    </row>
    <row r="1760" spans="1:2" x14ac:dyDescent="0.25">
      <c r="A1760" s="170"/>
      <c r="B1760" s="170"/>
    </row>
    <row r="1761" spans="1:2" x14ac:dyDescent="0.25">
      <c r="A1761" s="170"/>
      <c r="B1761" s="170"/>
    </row>
    <row r="1762" spans="1:2" x14ac:dyDescent="0.25">
      <c r="A1762" s="170"/>
      <c r="B1762" s="170"/>
    </row>
    <row r="1763" spans="1:2" x14ac:dyDescent="0.25">
      <c r="A1763" s="170"/>
      <c r="B1763" s="170"/>
    </row>
    <row r="1764" spans="1:2" x14ac:dyDescent="0.25">
      <c r="A1764" s="170"/>
      <c r="B1764" s="170"/>
    </row>
    <row r="1765" spans="1:2" x14ac:dyDescent="0.25">
      <c r="A1765" s="170"/>
      <c r="B1765" s="170"/>
    </row>
    <row r="1766" spans="1:2" x14ac:dyDescent="0.25">
      <c r="A1766" s="170"/>
      <c r="B1766" s="170"/>
    </row>
    <row r="1767" spans="1:2" x14ac:dyDescent="0.25">
      <c r="A1767" s="170"/>
      <c r="B1767" s="170"/>
    </row>
    <row r="1768" spans="1:2" x14ac:dyDescent="0.25">
      <c r="A1768" s="170"/>
      <c r="B1768" s="170"/>
    </row>
    <row r="1769" spans="1:2" x14ac:dyDescent="0.25">
      <c r="A1769" s="170"/>
      <c r="B1769" s="170"/>
    </row>
    <row r="1770" spans="1:2" x14ac:dyDescent="0.25">
      <c r="A1770" s="170"/>
      <c r="B1770" s="170"/>
    </row>
    <row r="1771" spans="1:2" x14ac:dyDescent="0.25">
      <c r="A1771" s="170"/>
      <c r="B1771" s="170"/>
    </row>
    <row r="1772" spans="1:2" x14ac:dyDescent="0.25">
      <c r="A1772" s="170"/>
      <c r="B1772" s="170"/>
    </row>
    <row r="1773" spans="1:2" x14ac:dyDescent="0.25">
      <c r="A1773" s="170"/>
      <c r="B1773" s="170"/>
    </row>
    <row r="1774" spans="1:2" x14ac:dyDescent="0.25">
      <c r="A1774" s="170"/>
      <c r="B1774" s="170"/>
    </row>
    <row r="1775" spans="1:2" x14ac:dyDescent="0.25">
      <c r="A1775" s="170"/>
      <c r="B1775" s="170"/>
    </row>
    <row r="1776" spans="1:2" x14ac:dyDescent="0.25">
      <c r="A1776" s="170"/>
      <c r="B1776" s="170"/>
    </row>
    <row r="1777" spans="1:2" x14ac:dyDescent="0.25">
      <c r="A1777" s="170"/>
      <c r="B1777" s="170"/>
    </row>
    <row r="1778" spans="1:2" x14ac:dyDescent="0.25">
      <c r="A1778" s="170"/>
      <c r="B1778" s="170"/>
    </row>
    <row r="1779" spans="1:2" x14ac:dyDescent="0.25">
      <c r="A1779" s="170"/>
      <c r="B1779" s="170"/>
    </row>
    <row r="1780" spans="1:2" x14ac:dyDescent="0.25">
      <c r="A1780" s="170"/>
      <c r="B1780" s="170"/>
    </row>
    <row r="1781" spans="1:2" x14ac:dyDescent="0.25">
      <c r="A1781" s="170"/>
      <c r="B1781" s="170"/>
    </row>
    <row r="1782" spans="1:2" x14ac:dyDescent="0.25">
      <c r="A1782" s="170"/>
      <c r="B1782" s="170"/>
    </row>
    <row r="1783" spans="1:2" x14ac:dyDescent="0.25">
      <c r="A1783" s="170"/>
      <c r="B1783" s="170"/>
    </row>
    <row r="1784" spans="1:2" x14ac:dyDescent="0.25">
      <c r="A1784" s="170"/>
      <c r="B1784" s="170"/>
    </row>
    <row r="1785" spans="1:2" x14ac:dyDescent="0.25">
      <c r="A1785" s="170"/>
      <c r="B1785" s="170"/>
    </row>
    <row r="1786" spans="1:2" x14ac:dyDescent="0.25">
      <c r="A1786" s="170"/>
      <c r="B1786" s="170"/>
    </row>
    <row r="1787" spans="1:2" x14ac:dyDescent="0.25">
      <c r="A1787" s="170"/>
      <c r="B1787" s="170"/>
    </row>
    <row r="1788" spans="1:2" x14ac:dyDescent="0.25">
      <c r="A1788" s="170"/>
      <c r="B1788" s="170"/>
    </row>
    <row r="1789" spans="1:2" x14ac:dyDescent="0.25">
      <c r="A1789" s="170"/>
      <c r="B1789" s="170"/>
    </row>
    <row r="1790" spans="1:2" x14ac:dyDescent="0.25">
      <c r="A1790" s="170"/>
      <c r="B1790" s="170"/>
    </row>
    <row r="1791" spans="1:2" x14ac:dyDescent="0.25">
      <c r="A1791" s="170"/>
      <c r="B1791" s="170"/>
    </row>
    <row r="1792" spans="1:2" x14ac:dyDescent="0.25">
      <c r="A1792" s="170"/>
      <c r="B1792" s="170"/>
    </row>
    <row r="1793" spans="1:2" x14ac:dyDescent="0.25">
      <c r="A1793" s="170"/>
      <c r="B1793" s="170"/>
    </row>
    <row r="1794" spans="1:2" x14ac:dyDescent="0.25">
      <c r="A1794" s="170"/>
      <c r="B1794" s="170"/>
    </row>
    <row r="1795" spans="1:2" x14ac:dyDescent="0.25">
      <c r="A1795" s="170"/>
      <c r="B1795" s="170"/>
    </row>
    <row r="1796" spans="1:2" x14ac:dyDescent="0.25">
      <c r="A1796" s="170"/>
      <c r="B1796" s="170"/>
    </row>
    <row r="1797" spans="1:2" x14ac:dyDescent="0.25">
      <c r="A1797" s="170"/>
      <c r="B1797" s="170"/>
    </row>
    <row r="1798" spans="1:2" x14ac:dyDescent="0.25">
      <c r="A1798" s="170"/>
      <c r="B1798" s="170"/>
    </row>
    <row r="1799" spans="1:2" x14ac:dyDescent="0.25">
      <c r="A1799" s="170"/>
      <c r="B1799" s="170"/>
    </row>
    <row r="1800" spans="1:2" x14ac:dyDescent="0.25">
      <c r="A1800" s="170"/>
      <c r="B1800" s="170"/>
    </row>
    <row r="1801" spans="1:2" x14ac:dyDescent="0.25">
      <c r="A1801" s="170"/>
      <c r="B1801" s="170"/>
    </row>
    <row r="1802" spans="1:2" x14ac:dyDescent="0.25">
      <c r="A1802" s="170"/>
      <c r="B1802" s="170"/>
    </row>
    <row r="1803" spans="1:2" x14ac:dyDescent="0.25">
      <c r="A1803" s="170"/>
      <c r="B1803" s="170"/>
    </row>
    <row r="1804" spans="1:2" x14ac:dyDescent="0.25">
      <c r="A1804" s="170"/>
      <c r="B1804" s="170"/>
    </row>
    <row r="1805" spans="1:2" x14ac:dyDescent="0.25">
      <c r="A1805" s="170"/>
      <c r="B1805" s="170"/>
    </row>
    <row r="1806" spans="1:2" x14ac:dyDescent="0.25">
      <c r="A1806" s="170"/>
      <c r="B1806" s="170"/>
    </row>
    <row r="1807" spans="1:2" x14ac:dyDescent="0.25">
      <c r="A1807" s="170"/>
      <c r="B1807" s="170"/>
    </row>
    <row r="1808" spans="1:2" x14ac:dyDescent="0.25">
      <c r="A1808" s="170"/>
      <c r="B1808" s="170"/>
    </row>
    <row r="1809" spans="1:2" x14ac:dyDescent="0.25">
      <c r="A1809" s="170"/>
      <c r="B1809" s="170"/>
    </row>
    <row r="1810" spans="1:2" x14ac:dyDescent="0.25">
      <c r="A1810" s="170"/>
      <c r="B1810" s="170"/>
    </row>
    <row r="1811" spans="1:2" x14ac:dyDescent="0.25">
      <c r="A1811" s="170"/>
      <c r="B1811" s="170"/>
    </row>
    <row r="1812" spans="1:2" x14ac:dyDescent="0.25">
      <c r="A1812" s="170"/>
      <c r="B1812" s="170"/>
    </row>
    <row r="1813" spans="1:2" x14ac:dyDescent="0.25">
      <c r="A1813" s="170"/>
      <c r="B1813" s="170"/>
    </row>
    <row r="1814" spans="1:2" x14ac:dyDescent="0.25">
      <c r="A1814" s="170"/>
      <c r="B1814" s="170"/>
    </row>
    <row r="1815" spans="1:2" x14ac:dyDescent="0.25">
      <c r="A1815" s="170"/>
      <c r="B1815" s="170"/>
    </row>
    <row r="1816" spans="1:2" x14ac:dyDescent="0.25">
      <c r="A1816" s="170"/>
      <c r="B1816" s="170"/>
    </row>
    <row r="1817" spans="1:2" x14ac:dyDescent="0.25">
      <c r="A1817" s="170"/>
      <c r="B1817" s="170"/>
    </row>
    <row r="1818" spans="1:2" x14ac:dyDescent="0.25">
      <c r="A1818" s="170"/>
      <c r="B1818" s="170"/>
    </row>
    <row r="1819" spans="1:2" x14ac:dyDescent="0.25">
      <c r="A1819" s="170"/>
      <c r="B1819" s="170"/>
    </row>
    <row r="1820" spans="1:2" x14ac:dyDescent="0.25">
      <c r="A1820" s="170"/>
      <c r="B1820" s="170"/>
    </row>
    <row r="1821" spans="1:2" x14ac:dyDescent="0.25">
      <c r="A1821" s="170"/>
      <c r="B1821" s="170"/>
    </row>
    <row r="1822" spans="1:2" x14ac:dyDescent="0.25">
      <c r="A1822" s="170"/>
      <c r="B1822" s="170"/>
    </row>
    <row r="1823" spans="1:2" x14ac:dyDescent="0.25">
      <c r="A1823" s="170"/>
      <c r="B1823" s="170"/>
    </row>
    <row r="1824" spans="1:2" x14ac:dyDescent="0.25">
      <c r="A1824" s="170"/>
      <c r="B1824" s="170"/>
    </row>
    <row r="1825" spans="1:2" x14ac:dyDescent="0.25">
      <c r="A1825" s="170"/>
      <c r="B1825" s="170"/>
    </row>
    <row r="1826" spans="1:2" x14ac:dyDescent="0.25">
      <c r="A1826" s="170"/>
      <c r="B1826" s="170"/>
    </row>
    <row r="1827" spans="1:2" x14ac:dyDescent="0.25">
      <c r="A1827" s="170"/>
      <c r="B1827" s="170"/>
    </row>
    <row r="1828" spans="1:2" x14ac:dyDescent="0.25">
      <c r="A1828" s="170"/>
      <c r="B1828" s="170"/>
    </row>
    <row r="1829" spans="1:2" x14ac:dyDescent="0.25">
      <c r="A1829" s="170"/>
      <c r="B1829" s="170"/>
    </row>
    <row r="1830" spans="1:2" x14ac:dyDescent="0.25">
      <c r="A1830" s="170"/>
      <c r="B1830" s="170"/>
    </row>
    <row r="1831" spans="1:2" x14ac:dyDescent="0.25">
      <c r="A1831" s="170"/>
      <c r="B1831" s="170"/>
    </row>
    <row r="1832" spans="1:2" x14ac:dyDescent="0.25">
      <c r="A1832" s="170"/>
      <c r="B1832" s="170"/>
    </row>
    <row r="1833" spans="1:2" x14ac:dyDescent="0.25">
      <c r="A1833" s="170"/>
      <c r="B1833" s="170"/>
    </row>
    <row r="1834" spans="1:2" x14ac:dyDescent="0.25">
      <c r="A1834" s="170"/>
      <c r="B1834" s="170"/>
    </row>
    <row r="1835" spans="1:2" x14ac:dyDescent="0.25">
      <c r="A1835" s="170"/>
      <c r="B1835" s="170"/>
    </row>
    <row r="1836" spans="1:2" x14ac:dyDescent="0.25">
      <c r="A1836" s="170"/>
      <c r="B1836" s="170"/>
    </row>
    <row r="1837" spans="1:2" x14ac:dyDescent="0.25">
      <c r="A1837" s="170"/>
      <c r="B1837" s="170"/>
    </row>
    <row r="1838" spans="1:2" x14ac:dyDescent="0.25">
      <c r="A1838" s="170"/>
      <c r="B1838" s="170"/>
    </row>
    <row r="1839" spans="1:2" x14ac:dyDescent="0.25">
      <c r="A1839" s="170"/>
      <c r="B1839" s="170"/>
    </row>
    <row r="1840" spans="1:2" x14ac:dyDescent="0.25">
      <c r="A1840" s="170"/>
      <c r="B1840" s="170"/>
    </row>
    <row r="1841" spans="1:2" x14ac:dyDescent="0.25">
      <c r="A1841" s="170"/>
      <c r="B1841" s="170"/>
    </row>
    <row r="1842" spans="1:2" x14ac:dyDescent="0.25">
      <c r="A1842" s="170"/>
      <c r="B1842" s="170"/>
    </row>
    <row r="1843" spans="1:2" x14ac:dyDescent="0.25">
      <c r="A1843" s="170"/>
      <c r="B1843" s="170"/>
    </row>
    <row r="1844" spans="1:2" x14ac:dyDescent="0.25">
      <c r="A1844" s="170"/>
      <c r="B1844" s="170"/>
    </row>
    <row r="1845" spans="1:2" x14ac:dyDescent="0.25">
      <c r="A1845" s="170"/>
      <c r="B1845" s="170"/>
    </row>
    <row r="1846" spans="1:2" x14ac:dyDescent="0.25">
      <c r="A1846" s="170"/>
      <c r="B1846" s="170"/>
    </row>
    <row r="1847" spans="1:2" x14ac:dyDescent="0.25">
      <c r="A1847" s="170"/>
      <c r="B1847" s="170"/>
    </row>
    <row r="1848" spans="1:2" x14ac:dyDescent="0.25">
      <c r="A1848" s="170"/>
      <c r="B1848" s="170"/>
    </row>
    <row r="1849" spans="1:2" x14ac:dyDescent="0.25">
      <c r="A1849" s="170"/>
      <c r="B1849" s="170"/>
    </row>
    <row r="1850" spans="1:2" x14ac:dyDescent="0.25">
      <c r="A1850" s="170"/>
      <c r="B1850" s="170"/>
    </row>
    <row r="1851" spans="1:2" x14ac:dyDescent="0.25">
      <c r="A1851" s="170"/>
      <c r="B1851" s="170"/>
    </row>
    <row r="1852" spans="1:2" x14ac:dyDescent="0.25">
      <c r="A1852" s="170"/>
      <c r="B1852" s="170"/>
    </row>
    <row r="1853" spans="1:2" x14ac:dyDescent="0.25">
      <c r="A1853" s="170"/>
      <c r="B1853" s="170"/>
    </row>
    <row r="1854" spans="1:2" x14ac:dyDescent="0.25">
      <c r="A1854" s="170"/>
      <c r="B1854" s="170"/>
    </row>
    <row r="1855" spans="1:2" x14ac:dyDescent="0.25">
      <c r="A1855" s="170"/>
      <c r="B1855" s="170"/>
    </row>
    <row r="1856" spans="1:2" x14ac:dyDescent="0.25">
      <c r="A1856" s="170"/>
      <c r="B1856" s="170"/>
    </row>
    <row r="1857" spans="1:2" x14ac:dyDescent="0.25">
      <c r="A1857" s="170"/>
      <c r="B1857" s="170"/>
    </row>
    <row r="1858" spans="1:2" x14ac:dyDescent="0.25">
      <c r="A1858" s="170"/>
      <c r="B1858" s="170"/>
    </row>
    <row r="1859" spans="1:2" x14ac:dyDescent="0.25">
      <c r="A1859" s="170"/>
      <c r="B1859" s="170"/>
    </row>
    <row r="1860" spans="1:2" x14ac:dyDescent="0.25">
      <c r="A1860" s="170"/>
      <c r="B1860" s="170"/>
    </row>
    <row r="1861" spans="1:2" x14ac:dyDescent="0.25">
      <c r="A1861" s="170"/>
      <c r="B1861" s="170"/>
    </row>
    <row r="1862" spans="1:2" x14ac:dyDescent="0.25">
      <c r="A1862" s="170"/>
      <c r="B1862" s="170"/>
    </row>
    <row r="1863" spans="1:2" x14ac:dyDescent="0.25">
      <c r="A1863" s="170"/>
      <c r="B1863" s="170"/>
    </row>
    <row r="1864" spans="1:2" x14ac:dyDescent="0.25">
      <c r="A1864" s="170"/>
      <c r="B1864" s="170"/>
    </row>
    <row r="1865" spans="1:2" x14ac:dyDescent="0.25">
      <c r="A1865" s="170"/>
      <c r="B1865" s="170"/>
    </row>
    <row r="1866" spans="1:2" x14ac:dyDescent="0.25">
      <c r="A1866" s="170"/>
      <c r="B1866" s="170"/>
    </row>
    <row r="1867" spans="1:2" x14ac:dyDescent="0.25">
      <c r="A1867" s="170"/>
      <c r="B1867" s="170"/>
    </row>
    <row r="1868" spans="1:2" x14ac:dyDescent="0.25">
      <c r="A1868" s="170"/>
      <c r="B1868" s="170"/>
    </row>
    <row r="1869" spans="1:2" x14ac:dyDescent="0.25">
      <c r="A1869" s="170"/>
      <c r="B1869" s="170"/>
    </row>
    <row r="1870" spans="1:2" x14ac:dyDescent="0.25">
      <c r="A1870" s="170"/>
      <c r="B1870" s="170"/>
    </row>
    <row r="1871" spans="1:2" x14ac:dyDescent="0.25">
      <c r="A1871" s="170"/>
      <c r="B1871" s="170"/>
    </row>
    <row r="1872" spans="1:2" x14ac:dyDescent="0.25">
      <c r="A1872" s="170"/>
      <c r="B1872" s="170"/>
    </row>
    <row r="1873" spans="1:2" x14ac:dyDescent="0.25">
      <c r="A1873" s="170"/>
      <c r="B1873" s="170"/>
    </row>
    <row r="1874" spans="1:2" x14ac:dyDescent="0.25">
      <c r="A1874" s="170"/>
      <c r="B1874" s="170"/>
    </row>
    <row r="1875" spans="1:2" x14ac:dyDescent="0.25">
      <c r="A1875" s="170"/>
      <c r="B1875" s="170"/>
    </row>
    <row r="1876" spans="1:2" x14ac:dyDescent="0.25">
      <c r="A1876" s="170"/>
      <c r="B1876" s="170"/>
    </row>
    <row r="1877" spans="1:2" x14ac:dyDescent="0.25">
      <c r="A1877" s="170"/>
      <c r="B1877" s="170"/>
    </row>
    <row r="1878" spans="1:2" x14ac:dyDescent="0.25">
      <c r="A1878" s="170"/>
      <c r="B1878" s="170"/>
    </row>
    <row r="1879" spans="1:2" x14ac:dyDescent="0.25">
      <c r="A1879" s="170"/>
      <c r="B1879" s="170"/>
    </row>
    <row r="1880" spans="1:2" x14ac:dyDescent="0.25">
      <c r="A1880" s="170"/>
      <c r="B1880" s="170"/>
    </row>
    <row r="1881" spans="1:2" x14ac:dyDescent="0.25">
      <c r="A1881" s="170"/>
      <c r="B1881" s="170"/>
    </row>
    <row r="1882" spans="1:2" x14ac:dyDescent="0.25">
      <c r="A1882" s="170"/>
      <c r="B1882" s="170"/>
    </row>
    <row r="1883" spans="1:2" x14ac:dyDescent="0.25">
      <c r="A1883" s="170"/>
      <c r="B1883" s="170"/>
    </row>
    <row r="1884" spans="1:2" x14ac:dyDescent="0.25">
      <c r="A1884" s="170"/>
      <c r="B1884" s="170"/>
    </row>
    <row r="1885" spans="1:2" x14ac:dyDescent="0.25">
      <c r="A1885" s="170"/>
      <c r="B1885" s="170"/>
    </row>
    <row r="1886" spans="1:2" x14ac:dyDescent="0.25">
      <c r="A1886" s="170"/>
      <c r="B1886" s="170"/>
    </row>
    <row r="1887" spans="1:2" x14ac:dyDescent="0.25">
      <c r="A1887" s="170"/>
      <c r="B1887" s="170"/>
    </row>
    <row r="1888" spans="1:2" x14ac:dyDescent="0.25">
      <c r="A1888" s="170"/>
      <c r="B1888" s="170"/>
    </row>
    <row r="1889" spans="1:2" x14ac:dyDescent="0.25">
      <c r="A1889" s="170"/>
      <c r="B1889" s="170"/>
    </row>
    <row r="1890" spans="1:2" x14ac:dyDescent="0.25">
      <c r="A1890" s="170"/>
      <c r="B1890" s="170"/>
    </row>
    <row r="1891" spans="1:2" x14ac:dyDescent="0.25">
      <c r="A1891" s="170"/>
      <c r="B1891" s="170"/>
    </row>
    <row r="1892" spans="1:2" x14ac:dyDescent="0.25">
      <c r="A1892" s="170"/>
      <c r="B1892" s="170"/>
    </row>
    <row r="1893" spans="1:2" x14ac:dyDescent="0.25">
      <c r="A1893" s="170"/>
      <c r="B1893" s="170"/>
    </row>
    <row r="1894" spans="1:2" x14ac:dyDescent="0.25">
      <c r="A1894" s="170"/>
      <c r="B1894" s="170"/>
    </row>
    <row r="1895" spans="1:2" x14ac:dyDescent="0.25">
      <c r="A1895" s="170"/>
      <c r="B1895" s="170"/>
    </row>
    <row r="1896" spans="1:2" x14ac:dyDescent="0.25">
      <c r="A1896" s="170"/>
      <c r="B1896" s="170"/>
    </row>
    <row r="1897" spans="1:2" x14ac:dyDescent="0.25">
      <c r="A1897" s="170"/>
      <c r="B1897" s="170"/>
    </row>
    <row r="1898" spans="1:2" x14ac:dyDescent="0.25">
      <c r="A1898" s="170"/>
      <c r="B1898" s="170"/>
    </row>
    <row r="1899" spans="1:2" x14ac:dyDescent="0.25">
      <c r="A1899" s="170"/>
      <c r="B1899" s="170"/>
    </row>
    <row r="1900" spans="1:2" x14ac:dyDescent="0.25">
      <c r="A1900" s="170"/>
      <c r="B1900" s="170"/>
    </row>
    <row r="1901" spans="1:2" x14ac:dyDescent="0.25">
      <c r="A1901" s="170"/>
      <c r="B1901" s="170"/>
    </row>
    <row r="1902" spans="1:2" x14ac:dyDescent="0.25">
      <c r="A1902" s="170"/>
      <c r="B1902" s="170"/>
    </row>
    <row r="1903" spans="1:2" x14ac:dyDescent="0.25">
      <c r="A1903" s="170"/>
      <c r="B1903" s="170"/>
    </row>
    <row r="1904" spans="1:2" x14ac:dyDescent="0.25">
      <c r="A1904" s="170"/>
      <c r="B1904" s="170"/>
    </row>
    <row r="1905" spans="1:2" x14ac:dyDescent="0.25">
      <c r="A1905" s="170"/>
      <c r="B1905" s="170"/>
    </row>
    <row r="1906" spans="1:2" x14ac:dyDescent="0.25">
      <c r="A1906" s="170"/>
      <c r="B1906" s="170"/>
    </row>
    <row r="1907" spans="1:2" x14ac:dyDescent="0.25">
      <c r="A1907" s="170"/>
      <c r="B1907" s="170"/>
    </row>
    <row r="1908" spans="1:2" x14ac:dyDescent="0.25">
      <c r="A1908" s="170"/>
      <c r="B1908" s="170"/>
    </row>
    <row r="1909" spans="1:2" x14ac:dyDescent="0.25">
      <c r="A1909" s="170"/>
      <c r="B1909" s="170"/>
    </row>
    <row r="1910" spans="1:2" x14ac:dyDescent="0.25">
      <c r="A1910" s="170"/>
      <c r="B1910" s="170"/>
    </row>
    <row r="1911" spans="1:2" x14ac:dyDescent="0.25">
      <c r="A1911" s="170"/>
      <c r="B1911" s="170"/>
    </row>
    <row r="1912" spans="1:2" x14ac:dyDescent="0.25">
      <c r="A1912" s="170"/>
      <c r="B1912" s="170"/>
    </row>
    <row r="1913" spans="1:2" x14ac:dyDescent="0.25">
      <c r="A1913" s="170"/>
      <c r="B1913" s="170"/>
    </row>
    <row r="1914" spans="1:2" x14ac:dyDescent="0.25">
      <c r="A1914" s="170"/>
      <c r="B1914" s="170"/>
    </row>
    <row r="1915" spans="1:2" x14ac:dyDescent="0.25">
      <c r="A1915" s="170"/>
      <c r="B1915" s="170"/>
    </row>
    <row r="1916" spans="1:2" x14ac:dyDescent="0.25">
      <c r="A1916" s="170"/>
      <c r="B1916" s="170"/>
    </row>
    <row r="1917" spans="1:2" x14ac:dyDescent="0.25">
      <c r="A1917" s="170"/>
      <c r="B1917" s="170"/>
    </row>
    <row r="1918" spans="1:2" x14ac:dyDescent="0.25">
      <c r="A1918" s="170"/>
      <c r="B1918" s="170"/>
    </row>
    <row r="1919" spans="1:2" x14ac:dyDescent="0.25">
      <c r="A1919" s="170"/>
      <c r="B1919" s="170"/>
    </row>
    <row r="1920" spans="1:2" x14ac:dyDescent="0.25">
      <c r="A1920" s="170"/>
      <c r="B1920" s="170"/>
    </row>
    <row r="1921" spans="1:2" x14ac:dyDescent="0.25">
      <c r="A1921" s="170"/>
      <c r="B1921" s="170"/>
    </row>
    <row r="1922" spans="1:2" x14ac:dyDescent="0.25">
      <c r="A1922" s="170"/>
      <c r="B1922" s="170"/>
    </row>
    <row r="1923" spans="1:2" x14ac:dyDescent="0.25">
      <c r="A1923" s="170"/>
      <c r="B1923" s="170"/>
    </row>
    <row r="1924" spans="1:2" x14ac:dyDescent="0.25">
      <c r="A1924" s="170"/>
      <c r="B1924" s="170"/>
    </row>
    <row r="1925" spans="1:2" x14ac:dyDescent="0.25">
      <c r="A1925" s="170"/>
      <c r="B1925" s="170"/>
    </row>
    <row r="1926" spans="1:2" x14ac:dyDescent="0.25">
      <c r="A1926" s="170"/>
      <c r="B1926" s="170"/>
    </row>
    <row r="1927" spans="1:2" x14ac:dyDescent="0.25">
      <c r="A1927" s="170"/>
      <c r="B1927" s="170"/>
    </row>
    <row r="1928" spans="1:2" x14ac:dyDescent="0.25">
      <c r="A1928" s="170"/>
      <c r="B1928" s="170"/>
    </row>
    <row r="1929" spans="1:2" x14ac:dyDescent="0.25">
      <c r="A1929" s="170"/>
      <c r="B1929" s="170"/>
    </row>
    <row r="1930" spans="1:2" x14ac:dyDescent="0.25">
      <c r="A1930" s="170"/>
      <c r="B1930" s="170"/>
    </row>
    <row r="1931" spans="1:2" x14ac:dyDescent="0.25">
      <c r="A1931" s="170"/>
      <c r="B1931" s="170"/>
    </row>
    <row r="1932" spans="1:2" x14ac:dyDescent="0.25">
      <c r="A1932" s="170"/>
      <c r="B1932" s="170"/>
    </row>
    <row r="1933" spans="1:2" x14ac:dyDescent="0.25">
      <c r="A1933" s="170"/>
      <c r="B1933" s="170"/>
    </row>
    <row r="1934" spans="1:2" x14ac:dyDescent="0.25">
      <c r="A1934" s="170"/>
      <c r="B1934" s="170"/>
    </row>
    <row r="1935" spans="1:2" x14ac:dyDescent="0.25">
      <c r="A1935" s="170"/>
      <c r="B1935" s="170"/>
    </row>
    <row r="1936" spans="1:2" x14ac:dyDescent="0.25">
      <c r="A1936" s="170"/>
      <c r="B1936" s="170"/>
    </row>
    <row r="1937" spans="1:2" x14ac:dyDescent="0.25">
      <c r="A1937" s="170"/>
      <c r="B1937" s="170"/>
    </row>
    <row r="1938" spans="1:2" x14ac:dyDescent="0.25">
      <c r="A1938" s="170"/>
      <c r="B1938" s="170"/>
    </row>
    <row r="1939" spans="1:2" x14ac:dyDescent="0.25">
      <c r="A1939" s="170"/>
      <c r="B1939" s="170"/>
    </row>
    <row r="1940" spans="1:2" x14ac:dyDescent="0.25">
      <c r="A1940" s="170"/>
      <c r="B1940" s="170"/>
    </row>
    <row r="1941" spans="1:2" x14ac:dyDescent="0.25">
      <c r="A1941" s="170"/>
      <c r="B1941" s="170"/>
    </row>
    <row r="1942" spans="1:2" x14ac:dyDescent="0.25">
      <c r="A1942" s="170"/>
      <c r="B1942" s="170"/>
    </row>
    <row r="1943" spans="1:2" x14ac:dyDescent="0.25">
      <c r="A1943" s="170"/>
      <c r="B1943" s="170"/>
    </row>
    <row r="1944" spans="1:2" x14ac:dyDescent="0.25">
      <c r="A1944" s="170"/>
      <c r="B1944" s="170"/>
    </row>
    <row r="1945" spans="1:2" x14ac:dyDescent="0.25">
      <c r="A1945" s="170"/>
      <c r="B1945" s="170"/>
    </row>
    <row r="1946" spans="1:2" x14ac:dyDescent="0.25">
      <c r="A1946" s="170"/>
      <c r="B1946" s="170"/>
    </row>
    <row r="1947" spans="1:2" x14ac:dyDescent="0.25">
      <c r="A1947" s="170"/>
      <c r="B1947" s="170"/>
    </row>
    <row r="1948" spans="1:2" x14ac:dyDescent="0.25">
      <c r="A1948" s="170"/>
      <c r="B1948" s="170"/>
    </row>
    <row r="1949" spans="1:2" x14ac:dyDescent="0.25">
      <c r="A1949" s="170"/>
      <c r="B1949" s="170"/>
    </row>
    <row r="1950" spans="1:2" x14ac:dyDescent="0.25">
      <c r="A1950" s="170"/>
      <c r="B1950" s="170"/>
    </row>
    <row r="1951" spans="1:2" x14ac:dyDescent="0.25">
      <c r="A1951" s="170"/>
      <c r="B1951" s="170"/>
    </row>
    <row r="1952" spans="1:2" x14ac:dyDescent="0.25">
      <c r="A1952" s="170"/>
      <c r="B1952" s="170"/>
    </row>
    <row r="1953" spans="1:2" x14ac:dyDescent="0.25">
      <c r="A1953" s="170"/>
      <c r="B1953" s="170"/>
    </row>
    <row r="1954" spans="1:2" x14ac:dyDescent="0.25">
      <c r="A1954" s="170"/>
      <c r="B1954" s="170"/>
    </row>
    <row r="1955" spans="1:2" x14ac:dyDescent="0.25">
      <c r="A1955" s="170"/>
      <c r="B1955" s="170"/>
    </row>
    <row r="1956" spans="1:2" x14ac:dyDescent="0.25">
      <c r="A1956" s="170"/>
      <c r="B1956" s="170"/>
    </row>
    <row r="1957" spans="1:2" x14ac:dyDescent="0.25">
      <c r="A1957" s="170"/>
      <c r="B1957" s="170"/>
    </row>
    <row r="1958" spans="1:2" x14ac:dyDescent="0.25">
      <c r="A1958" s="170"/>
      <c r="B1958" s="170"/>
    </row>
    <row r="1959" spans="1:2" x14ac:dyDescent="0.25">
      <c r="A1959" s="170"/>
      <c r="B1959" s="170"/>
    </row>
    <row r="1960" spans="1:2" x14ac:dyDescent="0.25">
      <c r="A1960" s="170"/>
      <c r="B1960" s="170"/>
    </row>
    <row r="1961" spans="1:2" x14ac:dyDescent="0.25">
      <c r="A1961" s="170"/>
      <c r="B1961" s="170"/>
    </row>
    <row r="1962" spans="1:2" x14ac:dyDescent="0.25">
      <c r="A1962" s="170"/>
      <c r="B1962" s="170"/>
    </row>
    <row r="1963" spans="1:2" x14ac:dyDescent="0.25">
      <c r="A1963" s="170"/>
      <c r="B1963" s="170"/>
    </row>
    <row r="1964" spans="1:2" x14ac:dyDescent="0.25">
      <c r="A1964" s="170"/>
      <c r="B1964" s="170"/>
    </row>
    <row r="1965" spans="1:2" x14ac:dyDescent="0.25">
      <c r="A1965" s="170"/>
      <c r="B1965" s="170"/>
    </row>
    <row r="1966" spans="1:2" x14ac:dyDescent="0.25">
      <c r="A1966" s="170"/>
      <c r="B1966" s="170"/>
    </row>
    <row r="1967" spans="1:2" x14ac:dyDescent="0.25">
      <c r="A1967" s="170"/>
      <c r="B1967" s="170"/>
    </row>
    <row r="1968" spans="1:2" x14ac:dyDescent="0.25">
      <c r="A1968" s="170"/>
      <c r="B1968" s="170"/>
    </row>
    <row r="1969" spans="1:2" x14ac:dyDescent="0.25">
      <c r="A1969" s="170"/>
      <c r="B1969" s="170"/>
    </row>
    <row r="1970" spans="1:2" x14ac:dyDescent="0.25">
      <c r="A1970" s="170"/>
      <c r="B1970" s="170"/>
    </row>
    <row r="1971" spans="1:2" x14ac:dyDescent="0.25">
      <c r="A1971" s="170"/>
      <c r="B1971" s="170"/>
    </row>
    <row r="1972" spans="1:2" x14ac:dyDescent="0.25">
      <c r="A1972" s="170"/>
      <c r="B1972" s="170"/>
    </row>
    <row r="1973" spans="1:2" x14ac:dyDescent="0.25">
      <c r="A1973" s="170"/>
      <c r="B1973" s="170"/>
    </row>
    <row r="1974" spans="1:2" x14ac:dyDescent="0.25">
      <c r="A1974" s="170"/>
      <c r="B1974" s="170"/>
    </row>
    <row r="1975" spans="1:2" x14ac:dyDescent="0.25">
      <c r="A1975" s="170"/>
      <c r="B1975" s="170"/>
    </row>
    <row r="1976" spans="1:2" x14ac:dyDescent="0.25">
      <c r="A1976" s="170"/>
      <c r="B1976" s="170"/>
    </row>
    <row r="1977" spans="1:2" x14ac:dyDescent="0.25">
      <c r="A1977" s="170"/>
      <c r="B1977" s="170"/>
    </row>
    <row r="1978" spans="1:2" x14ac:dyDescent="0.25">
      <c r="A1978" s="170"/>
      <c r="B1978" s="170"/>
    </row>
    <row r="1979" spans="1:2" x14ac:dyDescent="0.25">
      <c r="A1979" s="170"/>
      <c r="B1979" s="170"/>
    </row>
    <row r="1980" spans="1:2" x14ac:dyDescent="0.25">
      <c r="A1980" s="170"/>
      <c r="B1980" s="170"/>
    </row>
    <row r="1981" spans="1:2" x14ac:dyDescent="0.25">
      <c r="A1981" s="170"/>
      <c r="B1981" s="170"/>
    </row>
    <row r="1982" spans="1:2" x14ac:dyDescent="0.25">
      <c r="A1982" s="170"/>
      <c r="B1982" s="170"/>
    </row>
    <row r="1983" spans="1:2" x14ac:dyDescent="0.25">
      <c r="A1983" s="170"/>
      <c r="B1983" s="170"/>
    </row>
    <row r="1984" spans="1:2" x14ac:dyDescent="0.25">
      <c r="A1984" s="170"/>
      <c r="B1984" s="170"/>
    </row>
    <row r="1985" spans="1:2" x14ac:dyDescent="0.25">
      <c r="A1985" s="170"/>
      <c r="B1985" s="170"/>
    </row>
    <row r="1986" spans="1:2" x14ac:dyDescent="0.25">
      <c r="A1986" s="170"/>
      <c r="B1986" s="170"/>
    </row>
    <row r="1987" spans="1:2" x14ac:dyDescent="0.25">
      <c r="A1987" s="170"/>
      <c r="B1987" s="170"/>
    </row>
    <row r="1988" spans="1:2" x14ac:dyDescent="0.25">
      <c r="A1988" s="170"/>
      <c r="B1988" s="170"/>
    </row>
    <row r="1989" spans="1:2" x14ac:dyDescent="0.25">
      <c r="A1989" s="170"/>
      <c r="B1989" s="170"/>
    </row>
    <row r="1990" spans="1:2" x14ac:dyDescent="0.25">
      <c r="A1990" s="170"/>
      <c r="B1990" s="170"/>
    </row>
    <row r="1991" spans="1:2" x14ac:dyDescent="0.25">
      <c r="A1991" s="170"/>
      <c r="B1991" s="170"/>
    </row>
    <row r="1992" spans="1:2" x14ac:dyDescent="0.25">
      <c r="A1992" s="170"/>
      <c r="B1992" s="170"/>
    </row>
    <row r="1993" spans="1:2" x14ac:dyDescent="0.25">
      <c r="A1993" s="170"/>
      <c r="B1993" s="170"/>
    </row>
    <row r="1994" spans="1:2" x14ac:dyDescent="0.25">
      <c r="A1994" s="170"/>
      <c r="B1994" s="170"/>
    </row>
    <row r="1995" spans="1:2" x14ac:dyDescent="0.25">
      <c r="A1995" s="170"/>
      <c r="B1995" s="170"/>
    </row>
    <row r="1996" spans="1:2" x14ac:dyDescent="0.25">
      <c r="A1996" s="170"/>
      <c r="B1996" s="170"/>
    </row>
    <row r="1997" spans="1:2" x14ac:dyDescent="0.25">
      <c r="A1997" s="170"/>
      <c r="B1997" s="170"/>
    </row>
    <row r="1998" spans="1:2" x14ac:dyDescent="0.25">
      <c r="A1998" s="170"/>
      <c r="B1998" s="170"/>
    </row>
    <row r="1999" spans="1:2" x14ac:dyDescent="0.25">
      <c r="A1999" s="170"/>
      <c r="B1999" s="170"/>
    </row>
    <row r="2000" spans="1:2" x14ac:dyDescent="0.25">
      <c r="A2000" s="170"/>
      <c r="B2000" s="170"/>
    </row>
    <row r="2001" spans="1:2" x14ac:dyDescent="0.25">
      <c r="A2001" s="170"/>
      <c r="B2001" s="170"/>
    </row>
    <row r="2002" spans="1:2" x14ac:dyDescent="0.25">
      <c r="A2002" s="170"/>
      <c r="B2002" s="170"/>
    </row>
    <row r="2003" spans="1:2" x14ac:dyDescent="0.25">
      <c r="A2003" s="170"/>
      <c r="B2003" s="170"/>
    </row>
    <row r="2004" spans="1:2" x14ac:dyDescent="0.25">
      <c r="A2004" s="170"/>
      <c r="B2004" s="170"/>
    </row>
    <row r="2005" spans="1:2" x14ac:dyDescent="0.25">
      <c r="A2005" s="170"/>
      <c r="B2005" s="170"/>
    </row>
    <row r="2006" spans="1:2" x14ac:dyDescent="0.25">
      <c r="A2006" s="170"/>
      <c r="B2006" s="170"/>
    </row>
    <row r="2007" spans="1:2" x14ac:dyDescent="0.25">
      <c r="A2007" s="170"/>
      <c r="B2007" s="170"/>
    </row>
    <row r="2008" spans="1:2" x14ac:dyDescent="0.25">
      <c r="A2008" s="170"/>
      <c r="B2008" s="170"/>
    </row>
    <row r="2009" spans="1:2" x14ac:dyDescent="0.25">
      <c r="A2009" s="170"/>
      <c r="B2009" s="170"/>
    </row>
    <row r="2010" spans="1:2" x14ac:dyDescent="0.25">
      <c r="A2010" s="170"/>
      <c r="B2010" s="170"/>
    </row>
    <row r="2011" spans="1:2" x14ac:dyDescent="0.25">
      <c r="A2011" s="170"/>
      <c r="B2011" s="170"/>
    </row>
    <row r="2012" spans="1:2" x14ac:dyDescent="0.25">
      <c r="A2012" s="170"/>
      <c r="B2012" s="170"/>
    </row>
    <row r="2013" spans="1:2" x14ac:dyDescent="0.25">
      <c r="A2013" s="170"/>
      <c r="B2013" s="170"/>
    </row>
    <row r="2014" spans="1:2" x14ac:dyDescent="0.25">
      <c r="A2014" s="170"/>
      <c r="B2014" s="170"/>
    </row>
    <row r="2015" spans="1:2" x14ac:dyDescent="0.25">
      <c r="A2015" s="170"/>
      <c r="B2015" s="170"/>
    </row>
    <row r="2016" spans="1:2" x14ac:dyDescent="0.25">
      <c r="A2016" s="170"/>
      <c r="B2016" s="170"/>
    </row>
    <row r="2017" spans="1:2" x14ac:dyDescent="0.25">
      <c r="A2017" s="170"/>
      <c r="B2017" s="170"/>
    </row>
    <row r="2018" spans="1:2" x14ac:dyDescent="0.25">
      <c r="A2018" s="170"/>
      <c r="B2018" s="170"/>
    </row>
    <row r="2019" spans="1:2" x14ac:dyDescent="0.25">
      <c r="A2019" s="170"/>
      <c r="B2019" s="170"/>
    </row>
    <row r="2020" spans="1:2" x14ac:dyDescent="0.25">
      <c r="A2020" s="170"/>
      <c r="B2020" s="170"/>
    </row>
    <row r="2021" spans="1:2" x14ac:dyDescent="0.25">
      <c r="A2021" s="170"/>
      <c r="B2021" s="170"/>
    </row>
    <row r="2022" spans="1:2" x14ac:dyDescent="0.25">
      <c r="A2022" s="170"/>
      <c r="B2022" s="170"/>
    </row>
    <row r="2023" spans="1:2" x14ac:dyDescent="0.25">
      <c r="A2023" s="170"/>
      <c r="B2023" s="170"/>
    </row>
    <row r="2024" spans="1:2" x14ac:dyDescent="0.25">
      <c r="A2024" s="170"/>
      <c r="B2024" s="170"/>
    </row>
    <row r="2025" spans="1:2" x14ac:dyDescent="0.25">
      <c r="A2025" s="170"/>
      <c r="B2025" s="170"/>
    </row>
    <row r="2026" spans="1:2" x14ac:dyDescent="0.25">
      <c r="A2026" s="170"/>
      <c r="B2026" s="170"/>
    </row>
    <row r="2027" spans="1:2" x14ac:dyDescent="0.25">
      <c r="A2027" s="170"/>
      <c r="B2027" s="170"/>
    </row>
    <row r="2028" spans="1:2" x14ac:dyDescent="0.25">
      <c r="A2028" s="170"/>
      <c r="B2028" s="170"/>
    </row>
    <row r="2029" spans="1:2" x14ac:dyDescent="0.25">
      <c r="A2029" s="170"/>
      <c r="B2029" s="170"/>
    </row>
    <row r="2030" spans="1:2" x14ac:dyDescent="0.25">
      <c r="A2030" s="170"/>
      <c r="B2030" s="170"/>
    </row>
    <row r="2031" spans="1:2" x14ac:dyDescent="0.25">
      <c r="A2031" s="170"/>
      <c r="B2031" s="170"/>
    </row>
    <row r="2032" spans="1:2" x14ac:dyDescent="0.25">
      <c r="A2032" s="170"/>
      <c r="B2032" s="170"/>
    </row>
    <row r="2033" spans="1:2" x14ac:dyDescent="0.25">
      <c r="A2033" s="170"/>
      <c r="B2033" s="170"/>
    </row>
    <row r="2034" spans="1:2" x14ac:dyDescent="0.25">
      <c r="A2034" s="170"/>
      <c r="B2034" s="170"/>
    </row>
    <row r="2035" spans="1:2" x14ac:dyDescent="0.25">
      <c r="A2035" s="170"/>
      <c r="B2035" s="170"/>
    </row>
    <row r="2036" spans="1:2" x14ac:dyDescent="0.25">
      <c r="A2036" s="170"/>
      <c r="B2036" s="170"/>
    </row>
    <row r="2037" spans="1:2" x14ac:dyDescent="0.25">
      <c r="A2037" s="170"/>
      <c r="B2037" s="170"/>
    </row>
    <row r="2038" spans="1:2" x14ac:dyDescent="0.25">
      <c r="A2038" s="170"/>
      <c r="B2038" s="170"/>
    </row>
    <row r="2039" spans="1:2" x14ac:dyDescent="0.25">
      <c r="A2039" s="170"/>
      <c r="B2039" s="170"/>
    </row>
    <row r="2040" spans="1:2" x14ac:dyDescent="0.25">
      <c r="A2040" s="170"/>
      <c r="B2040" s="170"/>
    </row>
    <row r="2041" spans="1:2" x14ac:dyDescent="0.25">
      <c r="A2041" s="170"/>
      <c r="B2041" s="170"/>
    </row>
    <row r="2042" spans="1:2" x14ac:dyDescent="0.25">
      <c r="A2042" s="170"/>
      <c r="B2042" s="170"/>
    </row>
    <row r="2043" spans="1:2" x14ac:dyDescent="0.25">
      <c r="A2043" s="170"/>
      <c r="B2043" s="170"/>
    </row>
    <row r="2044" spans="1:2" x14ac:dyDescent="0.25">
      <c r="A2044" s="170"/>
      <c r="B2044" s="170"/>
    </row>
    <row r="2045" spans="1:2" x14ac:dyDescent="0.25">
      <c r="A2045" s="170"/>
      <c r="B2045" s="170"/>
    </row>
    <row r="2046" spans="1:2" x14ac:dyDescent="0.25">
      <c r="A2046" s="170"/>
      <c r="B2046" s="170"/>
    </row>
    <row r="2047" spans="1:2" x14ac:dyDescent="0.25">
      <c r="A2047" s="170"/>
      <c r="B2047" s="170"/>
    </row>
    <row r="2048" spans="1:2" x14ac:dyDescent="0.25">
      <c r="A2048" s="170"/>
      <c r="B2048" s="170"/>
    </row>
    <row r="2049" spans="1:2" x14ac:dyDescent="0.25">
      <c r="A2049" s="170"/>
      <c r="B2049" s="170"/>
    </row>
    <row r="2050" spans="1:2" x14ac:dyDescent="0.25">
      <c r="A2050" s="170"/>
      <c r="B2050" s="170"/>
    </row>
    <row r="2051" spans="1:2" x14ac:dyDescent="0.25">
      <c r="A2051" s="170"/>
      <c r="B2051" s="170"/>
    </row>
    <row r="2052" spans="1:2" x14ac:dyDescent="0.25">
      <c r="A2052" s="170"/>
      <c r="B2052" s="170"/>
    </row>
    <row r="2053" spans="1:2" x14ac:dyDescent="0.25">
      <c r="A2053" s="170"/>
      <c r="B2053" s="170"/>
    </row>
    <row r="2054" spans="1:2" x14ac:dyDescent="0.25">
      <c r="A2054" s="170"/>
      <c r="B2054" s="170"/>
    </row>
    <row r="2055" spans="1:2" x14ac:dyDescent="0.25">
      <c r="A2055" s="170"/>
      <c r="B2055" s="170"/>
    </row>
    <row r="2056" spans="1:2" x14ac:dyDescent="0.25">
      <c r="A2056" s="170"/>
      <c r="B2056" s="170"/>
    </row>
    <row r="2057" spans="1:2" x14ac:dyDescent="0.25">
      <c r="A2057" s="170"/>
      <c r="B2057" s="170"/>
    </row>
    <row r="2058" spans="1:2" x14ac:dyDescent="0.25">
      <c r="A2058" s="170"/>
      <c r="B2058" s="170"/>
    </row>
    <row r="2059" spans="1:2" x14ac:dyDescent="0.25">
      <c r="A2059" s="170"/>
      <c r="B2059" s="170"/>
    </row>
    <row r="2060" spans="1:2" x14ac:dyDescent="0.25">
      <c r="A2060" s="170"/>
      <c r="B2060" s="170"/>
    </row>
    <row r="2061" spans="1:2" x14ac:dyDescent="0.25">
      <c r="A2061" s="170"/>
      <c r="B2061" s="170"/>
    </row>
    <row r="2062" spans="1:2" x14ac:dyDescent="0.25">
      <c r="A2062" s="170"/>
      <c r="B2062" s="170"/>
    </row>
    <row r="2063" spans="1:2" x14ac:dyDescent="0.25">
      <c r="A2063" s="170"/>
      <c r="B2063" s="170"/>
    </row>
    <row r="2064" spans="1:2" x14ac:dyDescent="0.25">
      <c r="A2064" s="170"/>
      <c r="B2064" s="170"/>
    </row>
    <row r="2065" spans="1:2" x14ac:dyDescent="0.25">
      <c r="A2065" s="170"/>
      <c r="B2065" s="170"/>
    </row>
    <row r="2066" spans="1:2" x14ac:dyDescent="0.25">
      <c r="A2066" s="170"/>
      <c r="B2066" s="170"/>
    </row>
    <row r="2067" spans="1:2" x14ac:dyDescent="0.25">
      <c r="A2067" s="170"/>
      <c r="B2067" s="170"/>
    </row>
    <row r="2068" spans="1:2" x14ac:dyDescent="0.25">
      <c r="A2068" s="170"/>
      <c r="B2068" s="170"/>
    </row>
    <row r="2069" spans="1:2" x14ac:dyDescent="0.25">
      <c r="A2069" s="170"/>
      <c r="B2069" s="170"/>
    </row>
    <row r="2070" spans="1:2" x14ac:dyDescent="0.25">
      <c r="A2070" s="170"/>
      <c r="B2070" s="170"/>
    </row>
    <row r="2071" spans="1:2" x14ac:dyDescent="0.25">
      <c r="A2071" s="170"/>
      <c r="B2071" s="170"/>
    </row>
    <row r="2072" spans="1:2" x14ac:dyDescent="0.25">
      <c r="A2072" s="170"/>
      <c r="B2072" s="170"/>
    </row>
    <row r="2073" spans="1:2" x14ac:dyDescent="0.25">
      <c r="A2073" s="170"/>
      <c r="B2073" s="170"/>
    </row>
    <row r="2074" spans="1:2" x14ac:dyDescent="0.25">
      <c r="A2074" s="170"/>
      <c r="B2074" s="170"/>
    </row>
    <row r="2075" spans="1:2" x14ac:dyDescent="0.25">
      <c r="A2075" s="170"/>
      <c r="B2075" s="170"/>
    </row>
    <row r="2076" spans="1:2" x14ac:dyDescent="0.25">
      <c r="A2076" s="170"/>
      <c r="B2076" s="170"/>
    </row>
    <row r="2077" spans="1:2" x14ac:dyDescent="0.25">
      <c r="A2077" s="170"/>
      <c r="B2077" s="170"/>
    </row>
    <row r="2078" spans="1:2" x14ac:dyDescent="0.25">
      <c r="A2078" s="170"/>
      <c r="B2078" s="170"/>
    </row>
    <row r="2079" spans="1:2" x14ac:dyDescent="0.25">
      <c r="A2079" s="170"/>
      <c r="B2079" s="170"/>
    </row>
    <row r="2080" spans="1:2" x14ac:dyDescent="0.25">
      <c r="A2080" s="170"/>
      <c r="B2080" s="170"/>
    </row>
    <row r="2081" spans="1:2" x14ac:dyDescent="0.25">
      <c r="A2081" s="170"/>
      <c r="B2081" s="170"/>
    </row>
    <row r="2082" spans="1:2" x14ac:dyDescent="0.25">
      <c r="A2082" s="170"/>
      <c r="B2082" s="170"/>
    </row>
    <row r="2083" spans="1:2" x14ac:dyDescent="0.25">
      <c r="A2083" s="170"/>
      <c r="B2083" s="170"/>
    </row>
    <row r="2084" spans="1:2" x14ac:dyDescent="0.25">
      <c r="A2084" s="170"/>
      <c r="B2084" s="170"/>
    </row>
    <row r="2085" spans="1:2" x14ac:dyDescent="0.25">
      <c r="A2085" s="170"/>
      <c r="B2085" s="170"/>
    </row>
    <row r="2086" spans="1:2" x14ac:dyDescent="0.25">
      <c r="A2086" s="170"/>
      <c r="B2086" s="170"/>
    </row>
    <row r="2087" spans="1:2" x14ac:dyDescent="0.25">
      <c r="A2087" s="170"/>
      <c r="B2087" s="170"/>
    </row>
    <row r="2088" spans="1:2" x14ac:dyDescent="0.25">
      <c r="A2088" s="170"/>
      <c r="B2088" s="170"/>
    </row>
    <row r="2089" spans="1:2" x14ac:dyDescent="0.25">
      <c r="A2089" s="170"/>
      <c r="B2089" s="170"/>
    </row>
    <row r="2090" spans="1:2" x14ac:dyDescent="0.25">
      <c r="A2090" s="170"/>
      <c r="B2090" s="170"/>
    </row>
    <row r="2091" spans="1:2" x14ac:dyDescent="0.25">
      <c r="A2091" s="170"/>
      <c r="B2091" s="170"/>
    </row>
    <row r="2092" spans="1:2" x14ac:dyDescent="0.25">
      <c r="A2092" s="170"/>
      <c r="B2092" s="170"/>
    </row>
    <row r="2093" spans="1:2" x14ac:dyDescent="0.25">
      <c r="A2093" s="170"/>
      <c r="B2093" s="170"/>
    </row>
    <row r="2094" spans="1:2" x14ac:dyDescent="0.25">
      <c r="A2094" s="170"/>
      <c r="B2094" s="170"/>
    </row>
    <row r="2095" spans="1:2" x14ac:dyDescent="0.25">
      <c r="A2095" s="170"/>
      <c r="B2095" s="170"/>
    </row>
    <row r="2096" spans="1:2" x14ac:dyDescent="0.25">
      <c r="A2096" s="170"/>
      <c r="B2096" s="170"/>
    </row>
    <row r="2097" spans="1:2" x14ac:dyDescent="0.25">
      <c r="A2097" s="170"/>
      <c r="B2097" s="170"/>
    </row>
    <row r="2098" spans="1:2" x14ac:dyDescent="0.25">
      <c r="A2098" s="170"/>
      <c r="B2098" s="170"/>
    </row>
    <row r="2099" spans="1:2" x14ac:dyDescent="0.25">
      <c r="A2099" s="170"/>
      <c r="B2099" s="170"/>
    </row>
    <row r="2100" spans="1:2" x14ac:dyDescent="0.25">
      <c r="A2100" s="170"/>
      <c r="B2100" s="170"/>
    </row>
    <row r="2101" spans="1:2" x14ac:dyDescent="0.25">
      <c r="A2101" s="170"/>
      <c r="B2101" s="170"/>
    </row>
    <row r="2102" spans="1:2" x14ac:dyDescent="0.25">
      <c r="A2102" s="170"/>
      <c r="B2102" s="170"/>
    </row>
    <row r="2103" spans="1:2" x14ac:dyDescent="0.25">
      <c r="A2103" s="170"/>
      <c r="B2103" s="170"/>
    </row>
    <row r="2104" spans="1:2" x14ac:dyDescent="0.25">
      <c r="A2104" s="170"/>
      <c r="B2104" s="170"/>
    </row>
    <row r="2105" spans="1:2" x14ac:dyDescent="0.25">
      <c r="A2105" s="170"/>
      <c r="B2105" s="170"/>
    </row>
    <row r="2106" spans="1:2" x14ac:dyDescent="0.25">
      <c r="A2106" s="170"/>
      <c r="B2106" s="170"/>
    </row>
    <row r="2107" spans="1:2" x14ac:dyDescent="0.25">
      <c r="A2107" s="170"/>
      <c r="B2107" s="170"/>
    </row>
    <row r="2108" spans="1:2" x14ac:dyDescent="0.25">
      <c r="A2108" s="170"/>
      <c r="B2108" s="170"/>
    </row>
    <row r="2109" spans="1:2" x14ac:dyDescent="0.25">
      <c r="A2109" s="170"/>
      <c r="B2109" s="170"/>
    </row>
    <row r="2110" spans="1:2" x14ac:dyDescent="0.25">
      <c r="A2110" s="170"/>
      <c r="B2110" s="170"/>
    </row>
    <row r="2111" spans="1:2" x14ac:dyDescent="0.25">
      <c r="A2111" s="170"/>
      <c r="B2111" s="170"/>
    </row>
    <row r="2112" spans="1:2" x14ac:dyDescent="0.25">
      <c r="A2112" s="170"/>
      <c r="B2112" s="170"/>
    </row>
    <row r="2113" spans="1:2" x14ac:dyDescent="0.25">
      <c r="A2113" s="170"/>
      <c r="B2113" s="170"/>
    </row>
    <row r="2114" spans="1:2" x14ac:dyDescent="0.25">
      <c r="A2114" s="170"/>
      <c r="B2114" s="170"/>
    </row>
    <row r="2115" spans="1:2" x14ac:dyDescent="0.25">
      <c r="A2115" s="170"/>
      <c r="B2115" s="170"/>
    </row>
    <row r="2116" spans="1:2" x14ac:dyDescent="0.25">
      <c r="A2116" s="170"/>
      <c r="B2116" s="170"/>
    </row>
    <row r="2117" spans="1:2" x14ac:dyDescent="0.25">
      <c r="A2117" s="170"/>
      <c r="B2117" s="170"/>
    </row>
    <row r="2118" spans="1:2" x14ac:dyDescent="0.25">
      <c r="A2118" s="170"/>
      <c r="B2118" s="170"/>
    </row>
    <row r="2119" spans="1:2" x14ac:dyDescent="0.25">
      <c r="A2119" s="170"/>
      <c r="B2119" s="170"/>
    </row>
    <row r="2120" spans="1:2" x14ac:dyDescent="0.25">
      <c r="A2120" s="170"/>
      <c r="B2120" s="170"/>
    </row>
    <row r="2121" spans="1:2" x14ac:dyDescent="0.25">
      <c r="A2121" s="170"/>
      <c r="B2121" s="170"/>
    </row>
    <row r="2122" spans="1:2" x14ac:dyDescent="0.25">
      <c r="A2122" s="170"/>
      <c r="B2122" s="170"/>
    </row>
    <row r="2123" spans="1:2" x14ac:dyDescent="0.25">
      <c r="A2123" s="170"/>
      <c r="B2123" s="170"/>
    </row>
    <row r="2124" spans="1:2" x14ac:dyDescent="0.25">
      <c r="A2124" s="170"/>
      <c r="B2124" s="170"/>
    </row>
    <row r="2125" spans="1:2" x14ac:dyDescent="0.25">
      <c r="A2125" s="170"/>
      <c r="B2125" s="170"/>
    </row>
    <row r="2126" spans="1:2" x14ac:dyDescent="0.25">
      <c r="A2126" s="170"/>
      <c r="B2126" s="170"/>
    </row>
    <row r="2127" spans="1:2" x14ac:dyDescent="0.25">
      <c r="A2127" s="170"/>
      <c r="B2127" s="170"/>
    </row>
    <row r="2128" spans="1:2" x14ac:dyDescent="0.25">
      <c r="A2128" s="170"/>
      <c r="B2128" s="170"/>
    </row>
    <row r="2129" spans="1:2" x14ac:dyDescent="0.25">
      <c r="A2129" s="170"/>
      <c r="B2129" s="170"/>
    </row>
    <row r="2130" spans="1:2" x14ac:dyDescent="0.25">
      <c r="A2130" s="170"/>
      <c r="B2130" s="170"/>
    </row>
    <row r="2131" spans="1:2" x14ac:dyDescent="0.25">
      <c r="A2131" s="170"/>
      <c r="B2131" s="170"/>
    </row>
    <row r="2132" spans="1:2" x14ac:dyDescent="0.25">
      <c r="A2132" s="170"/>
      <c r="B2132" s="170"/>
    </row>
    <row r="2133" spans="1:2" x14ac:dyDescent="0.25">
      <c r="A2133" s="170"/>
      <c r="B2133" s="170"/>
    </row>
    <row r="2134" spans="1:2" x14ac:dyDescent="0.25">
      <c r="A2134" s="170"/>
      <c r="B2134" s="170"/>
    </row>
    <row r="2135" spans="1:2" x14ac:dyDescent="0.25">
      <c r="A2135" s="170"/>
      <c r="B2135" s="170"/>
    </row>
    <row r="2136" spans="1:2" x14ac:dyDescent="0.25">
      <c r="A2136" s="170"/>
      <c r="B2136" s="170"/>
    </row>
    <row r="2137" spans="1:2" x14ac:dyDescent="0.25">
      <c r="A2137" s="170"/>
      <c r="B2137" s="170"/>
    </row>
    <row r="2138" spans="1:2" x14ac:dyDescent="0.25">
      <c r="A2138" s="170"/>
      <c r="B2138" s="170"/>
    </row>
    <row r="2139" spans="1:2" x14ac:dyDescent="0.25">
      <c r="A2139" s="170"/>
      <c r="B2139" s="170"/>
    </row>
    <row r="2140" spans="1:2" x14ac:dyDescent="0.25">
      <c r="A2140" s="170"/>
      <c r="B2140" s="170"/>
    </row>
    <row r="2141" spans="1:2" x14ac:dyDescent="0.25">
      <c r="A2141" s="170"/>
      <c r="B2141" s="170"/>
    </row>
    <row r="2142" spans="1:2" x14ac:dyDescent="0.25">
      <c r="A2142" s="170"/>
      <c r="B2142" s="170"/>
    </row>
    <row r="2143" spans="1:2" x14ac:dyDescent="0.25">
      <c r="A2143" s="170"/>
      <c r="B2143" s="170"/>
    </row>
    <row r="2144" spans="1:2" x14ac:dyDescent="0.25">
      <c r="A2144" s="170"/>
      <c r="B2144" s="170"/>
    </row>
    <row r="2145" spans="1:2" x14ac:dyDescent="0.25">
      <c r="A2145" s="170"/>
      <c r="B2145" s="170"/>
    </row>
    <row r="2146" spans="1:2" x14ac:dyDescent="0.25">
      <c r="A2146" s="170"/>
      <c r="B2146" s="170"/>
    </row>
    <row r="2147" spans="1:2" x14ac:dyDescent="0.25">
      <c r="A2147" s="170"/>
      <c r="B2147" s="170"/>
    </row>
    <row r="2148" spans="1:2" x14ac:dyDescent="0.25">
      <c r="A2148" s="170"/>
      <c r="B2148" s="170"/>
    </row>
    <row r="2149" spans="1:2" x14ac:dyDescent="0.25">
      <c r="A2149" s="170"/>
      <c r="B2149" s="170"/>
    </row>
    <row r="2150" spans="1:2" x14ac:dyDescent="0.25">
      <c r="A2150" s="170"/>
      <c r="B2150" s="170"/>
    </row>
    <row r="2151" spans="1:2" x14ac:dyDescent="0.25">
      <c r="A2151" s="170"/>
      <c r="B2151" s="170"/>
    </row>
    <row r="2152" spans="1:2" x14ac:dyDescent="0.25">
      <c r="A2152" s="170"/>
      <c r="B2152" s="170"/>
    </row>
    <row r="2153" spans="1:2" x14ac:dyDescent="0.25">
      <c r="A2153" s="170"/>
      <c r="B2153" s="170"/>
    </row>
    <row r="2154" spans="1:2" x14ac:dyDescent="0.25">
      <c r="A2154" s="170"/>
      <c r="B2154" s="170"/>
    </row>
    <row r="2155" spans="1:2" x14ac:dyDescent="0.25">
      <c r="A2155" s="170"/>
      <c r="B2155" s="170"/>
    </row>
    <row r="2156" spans="1:2" x14ac:dyDescent="0.25">
      <c r="A2156" s="170"/>
      <c r="B2156" s="170"/>
    </row>
    <row r="2157" spans="1:2" x14ac:dyDescent="0.25">
      <c r="A2157" s="170"/>
      <c r="B2157" s="170"/>
    </row>
    <row r="2158" spans="1:2" x14ac:dyDescent="0.25">
      <c r="A2158" s="170"/>
      <c r="B2158" s="170"/>
    </row>
    <row r="2159" spans="1:2" x14ac:dyDescent="0.25">
      <c r="A2159" s="170"/>
      <c r="B2159" s="170"/>
    </row>
    <row r="2160" spans="1:2" x14ac:dyDescent="0.25">
      <c r="A2160" s="170"/>
      <c r="B2160" s="170"/>
    </row>
    <row r="2161" spans="1:2" x14ac:dyDescent="0.25">
      <c r="A2161" s="170"/>
      <c r="B2161" s="170"/>
    </row>
    <row r="2162" spans="1:2" x14ac:dyDescent="0.25">
      <c r="A2162" s="170"/>
      <c r="B2162" s="170"/>
    </row>
    <row r="2163" spans="1:2" x14ac:dyDescent="0.25">
      <c r="A2163" s="170"/>
      <c r="B2163" s="170"/>
    </row>
    <row r="2164" spans="1:2" x14ac:dyDescent="0.25">
      <c r="A2164" s="170"/>
      <c r="B2164" s="170"/>
    </row>
    <row r="2165" spans="1:2" x14ac:dyDescent="0.25">
      <c r="A2165" s="170"/>
      <c r="B2165" s="170"/>
    </row>
    <row r="2166" spans="1:2" x14ac:dyDescent="0.25">
      <c r="A2166" s="170"/>
      <c r="B2166" s="170"/>
    </row>
    <row r="2167" spans="1:2" x14ac:dyDescent="0.25">
      <c r="A2167" s="170"/>
      <c r="B2167" s="170"/>
    </row>
    <row r="2168" spans="1:2" x14ac:dyDescent="0.25">
      <c r="A2168" s="170"/>
      <c r="B2168" s="170"/>
    </row>
    <row r="2169" spans="1:2" x14ac:dyDescent="0.25">
      <c r="A2169" s="170"/>
      <c r="B2169" s="170"/>
    </row>
    <row r="2170" spans="1:2" x14ac:dyDescent="0.25">
      <c r="A2170" s="170"/>
      <c r="B2170" s="170"/>
    </row>
    <row r="2171" spans="1:2" x14ac:dyDescent="0.25">
      <c r="A2171" s="170"/>
      <c r="B2171" s="170"/>
    </row>
    <row r="2172" spans="1:2" x14ac:dyDescent="0.25">
      <c r="A2172" s="170"/>
      <c r="B2172" s="170"/>
    </row>
    <row r="2173" spans="1:2" x14ac:dyDescent="0.25">
      <c r="A2173" s="170"/>
      <c r="B2173" s="170"/>
    </row>
    <row r="2174" spans="1:2" x14ac:dyDescent="0.25">
      <c r="A2174" s="170"/>
      <c r="B2174" s="170"/>
    </row>
    <row r="2175" spans="1:2" x14ac:dyDescent="0.25">
      <c r="A2175" s="170"/>
      <c r="B2175" s="170"/>
    </row>
    <row r="2176" spans="1:2" x14ac:dyDescent="0.25">
      <c r="A2176" s="170"/>
      <c r="B2176" s="170"/>
    </row>
    <row r="2177" spans="1:2" x14ac:dyDescent="0.25">
      <c r="A2177" s="170"/>
      <c r="B2177" s="170"/>
    </row>
    <row r="2178" spans="1:2" x14ac:dyDescent="0.25">
      <c r="A2178" s="170"/>
      <c r="B2178" s="170"/>
    </row>
    <row r="2179" spans="1:2" x14ac:dyDescent="0.25">
      <c r="A2179" s="170"/>
      <c r="B2179" s="170"/>
    </row>
    <row r="2180" spans="1:2" x14ac:dyDescent="0.25">
      <c r="A2180" s="170"/>
      <c r="B2180" s="170"/>
    </row>
    <row r="2181" spans="1:2" x14ac:dyDescent="0.25">
      <c r="A2181" s="170"/>
      <c r="B2181" s="170"/>
    </row>
    <row r="2182" spans="1:2" x14ac:dyDescent="0.25">
      <c r="A2182" s="170"/>
      <c r="B2182" s="170"/>
    </row>
    <row r="2183" spans="1:2" x14ac:dyDescent="0.25">
      <c r="A2183" s="170"/>
      <c r="B2183" s="170"/>
    </row>
    <row r="2184" spans="1:2" x14ac:dyDescent="0.25">
      <c r="A2184" s="170"/>
      <c r="B2184" s="170"/>
    </row>
    <row r="2185" spans="1:2" x14ac:dyDescent="0.25">
      <c r="A2185" s="170"/>
      <c r="B2185" s="170"/>
    </row>
    <row r="2186" spans="1:2" x14ac:dyDescent="0.25">
      <c r="A2186" s="170"/>
      <c r="B2186" s="170"/>
    </row>
    <row r="2187" spans="1:2" x14ac:dyDescent="0.25">
      <c r="A2187" s="170"/>
      <c r="B2187" s="170"/>
    </row>
    <row r="2188" spans="1:2" x14ac:dyDescent="0.25">
      <c r="A2188" s="170"/>
      <c r="B2188" s="170"/>
    </row>
    <row r="2189" spans="1:2" x14ac:dyDescent="0.25">
      <c r="A2189" s="170"/>
      <c r="B2189" s="170"/>
    </row>
    <row r="2190" spans="1:2" x14ac:dyDescent="0.25">
      <c r="A2190" s="170"/>
      <c r="B2190" s="170"/>
    </row>
    <row r="2191" spans="1:2" x14ac:dyDescent="0.25">
      <c r="A2191" s="170"/>
      <c r="B2191" s="170"/>
    </row>
    <row r="2192" spans="1:2" x14ac:dyDescent="0.25">
      <c r="A2192" s="170"/>
      <c r="B2192" s="170"/>
    </row>
    <row r="2193" spans="1:2" x14ac:dyDescent="0.25">
      <c r="A2193" s="170"/>
      <c r="B2193" s="170"/>
    </row>
    <row r="2194" spans="1:2" x14ac:dyDescent="0.25">
      <c r="A2194" s="170"/>
      <c r="B2194" s="170"/>
    </row>
    <row r="2195" spans="1:2" x14ac:dyDescent="0.25">
      <c r="A2195" s="170"/>
      <c r="B2195" s="170"/>
    </row>
    <row r="2196" spans="1:2" x14ac:dyDescent="0.25">
      <c r="A2196" s="170"/>
      <c r="B2196" s="170"/>
    </row>
    <row r="2197" spans="1:2" x14ac:dyDescent="0.25">
      <c r="A2197" s="170"/>
      <c r="B2197" s="170"/>
    </row>
    <row r="2198" spans="1:2" x14ac:dyDescent="0.25">
      <c r="A2198" s="170"/>
      <c r="B2198" s="170"/>
    </row>
    <row r="2199" spans="1:2" x14ac:dyDescent="0.25">
      <c r="A2199" s="170"/>
      <c r="B2199" s="170"/>
    </row>
    <row r="2200" spans="1:2" x14ac:dyDescent="0.25">
      <c r="A2200" s="170"/>
      <c r="B2200" s="170"/>
    </row>
    <row r="2201" spans="1:2" x14ac:dyDescent="0.25">
      <c r="A2201" s="170"/>
      <c r="B2201" s="170"/>
    </row>
    <row r="2202" spans="1:2" x14ac:dyDescent="0.25">
      <c r="A2202" s="170"/>
      <c r="B2202" s="170"/>
    </row>
    <row r="2203" spans="1:2" x14ac:dyDescent="0.25">
      <c r="A2203" s="170"/>
      <c r="B2203" s="170"/>
    </row>
    <row r="2204" spans="1:2" x14ac:dyDescent="0.25">
      <c r="A2204" s="170"/>
      <c r="B2204" s="170"/>
    </row>
    <row r="2205" spans="1:2" x14ac:dyDescent="0.25">
      <c r="A2205" s="170"/>
      <c r="B2205" s="170"/>
    </row>
    <row r="2206" spans="1:2" x14ac:dyDescent="0.25">
      <c r="A2206" s="170"/>
      <c r="B2206" s="170"/>
    </row>
    <row r="2207" spans="1:2" x14ac:dyDescent="0.25">
      <c r="A2207" s="170"/>
      <c r="B2207" s="170"/>
    </row>
    <row r="2208" spans="1:2" x14ac:dyDescent="0.25">
      <c r="A2208" s="170"/>
      <c r="B2208" s="170"/>
    </row>
    <row r="2209" spans="1:2" x14ac:dyDescent="0.25">
      <c r="A2209" s="170"/>
      <c r="B2209" s="170"/>
    </row>
    <row r="2210" spans="1:2" x14ac:dyDescent="0.25">
      <c r="A2210" s="170"/>
      <c r="B2210" s="170"/>
    </row>
    <row r="2211" spans="1:2" x14ac:dyDescent="0.25">
      <c r="A2211" s="170"/>
      <c r="B2211" s="170"/>
    </row>
    <row r="2212" spans="1:2" x14ac:dyDescent="0.25">
      <c r="A2212" s="170"/>
      <c r="B2212" s="170"/>
    </row>
    <row r="2213" spans="1:2" x14ac:dyDescent="0.25">
      <c r="A2213" s="170"/>
      <c r="B2213" s="170"/>
    </row>
    <row r="2214" spans="1:2" x14ac:dyDescent="0.25">
      <c r="A2214" s="170"/>
      <c r="B2214" s="170"/>
    </row>
    <row r="2215" spans="1:2" x14ac:dyDescent="0.25">
      <c r="A2215" s="170"/>
      <c r="B2215" s="170"/>
    </row>
    <row r="2216" spans="1:2" x14ac:dyDescent="0.25">
      <c r="A2216" s="170"/>
      <c r="B2216" s="170"/>
    </row>
    <row r="2217" spans="1:2" x14ac:dyDescent="0.25">
      <c r="A2217" s="170"/>
      <c r="B2217" s="170"/>
    </row>
    <row r="2218" spans="1:2" x14ac:dyDescent="0.25">
      <c r="A2218" s="170"/>
      <c r="B2218" s="170"/>
    </row>
    <row r="2219" spans="1:2" x14ac:dyDescent="0.25">
      <c r="A2219" s="170"/>
      <c r="B2219" s="170"/>
    </row>
    <row r="2220" spans="1:2" x14ac:dyDescent="0.25">
      <c r="A2220" s="170"/>
      <c r="B2220" s="170"/>
    </row>
    <row r="2221" spans="1:2" x14ac:dyDescent="0.25">
      <c r="A2221" s="170"/>
      <c r="B2221" s="170"/>
    </row>
    <row r="2222" spans="1:2" x14ac:dyDescent="0.25">
      <c r="A2222" s="170"/>
      <c r="B2222" s="170"/>
    </row>
    <row r="2223" spans="1:2" x14ac:dyDescent="0.25">
      <c r="A2223" s="170"/>
      <c r="B2223" s="170"/>
    </row>
    <row r="2224" spans="1:2" x14ac:dyDescent="0.25">
      <c r="A2224" s="170"/>
      <c r="B2224" s="170"/>
    </row>
    <row r="2225" spans="1:2" x14ac:dyDescent="0.25">
      <c r="A2225" s="170"/>
      <c r="B2225" s="170"/>
    </row>
    <row r="2226" spans="1:2" x14ac:dyDescent="0.25">
      <c r="A2226" s="170"/>
      <c r="B2226" s="170"/>
    </row>
    <row r="2227" spans="1:2" x14ac:dyDescent="0.25">
      <c r="A2227" s="170"/>
      <c r="B2227" s="170"/>
    </row>
    <row r="2228" spans="1:2" x14ac:dyDescent="0.25">
      <c r="A2228" s="170"/>
      <c r="B2228" s="170"/>
    </row>
    <row r="2229" spans="1:2" x14ac:dyDescent="0.25">
      <c r="A2229" s="170"/>
      <c r="B2229" s="170"/>
    </row>
    <row r="2230" spans="1:2" x14ac:dyDescent="0.25">
      <c r="A2230" s="170"/>
      <c r="B2230" s="170"/>
    </row>
    <row r="2231" spans="1:2" x14ac:dyDescent="0.25">
      <c r="A2231" s="170"/>
      <c r="B2231" s="170"/>
    </row>
    <row r="2232" spans="1:2" x14ac:dyDescent="0.25">
      <c r="A2232" s="170"/>
      <c r="B2232" s="170"/>
    </row>
    <row r="2233" spans="1:2" x14ac:dyDescent="0.25">
      <c r="A2233" s="170"/>
      <c r="B2233" s="170"/>
    </row>
    <row r="2234" spans="1:2" x14ac:dyDescent="0.25">
      <c r="A2234" s="170"/>
      <c r="B2234" s="170"/>
    </row>
    <row r="2235" spans="1:2" x14ac:dyDescent="0.25">
      <c r="A2235" s="170"/>
      <c r="B2235" s="170"/>
    </row>
    <row r="2236" spans="1:2" x14ac:dyDescent="0.25">
      <c r="A2236" s="170"/>
      <c r="B2236" s="170"/>
    </row>
    <row r="2237" spans="1:2" x14ac:dyDescent="0.25">
      <c r="A2237" s="170"/>
      <c r="B2237" s="170"/>
    </row>
    <row r="2238" spans="1:2" x14ac:dyDescent="0.25">
      <c r="A2238" s="170"/>
      <c r="B2238" s="170"/>
    </row>
    <row r="2239" spans="1:2" x14ac:dyDescent="0.25">
      <c r="A2239" s="170"/>
      <c r="B2239" s="170"/>
    </row>
    <row r="2240" spans="1:2" x14ac:dyDescent="0.25">
      <c r="A2240" s="170"/>
      <c r="B2240" s="170"/>
    </row>
    <row r="2241" spans="1:2" x14ac:dyDescent="0.25">
      <c r="A2241" s="170"/>
      <c r="B2241" s="170"/>
    </row>
    <row r="2242" spans="1:2" x14ac:dyDescent="0.25">
      <c r="A2242" s="170"/>
      <c r="B2242" s="170"/>
    </row>
    <row r="2243" spans="1:2" x14ac:dyDescent="0.25">
      <c r="A2243" s="170"/>
      <c r="B2243" s="170"/>
    </row>
    <row r="2244" spans="1:2" x14ac:dyDescent="0.25">
      <c r="A2244" s="170"/>
      <c r="B2244" s="170"/>
    </row>
    <row r="2245" spans="1:2" x14ac:dyDescent="0.25">
      <c r="A2245" s="170"/>
      <c r="B2245" s="170"/>
    </row>
    <row r="2246" spans="1:2" x14ac:dyDescent="0.25">
      <c r="A2246" s="170"/>
      <c r="B2246" s="170"/>
    </row>
    <row r="2247" spans="1:2" x14ac:dyDescent="0.25">
      <c r="A2247" s="170"/>
      <c r="B2247" s="170"/>
    </row>
    <row r="2248" spans="1:2" x14ac:dyDescent="0.25">
      <c r="A2248" s="170"/>
      <c r="B2248" s="170"/>
    </row>
    <row r="2249" spans="1:2" x14ac:dyDescent="0.25">
      <c r="A2249" s="170"/>
      <c r="B2249" s="170"/>
    </row>
    <row r="2250" spans="1:2" x14ac:dyDescent="0.25">
      <c r="A2250" s="170"/>
      <c r="B2250" s="170"/>
    </row>
    <row r="2251" spans="1:2" x14ac:dyDescent="0.25">
      <c r="A2251" s="170"/>
      <c r="B2251" s="170"/>
    </row>
    <row r="2252" spans="1:2" x14ac:dyDescent="0.25">
      <c r="A2252" s="170"/>
      <c r="B2252" s="170"/>
    </row>
    <row r="2253" spans="1:2" x14ac:dyDescent="0.25">
      <c r="A2253" s="170"/>
      <c r="B2253" s="170"/>
    </row>
    <row r="2254" spans="1:2" x14ac:dyDescent="0.25">
      <c r="A2254" s="170"/>
      <c r="B2254" s="170"/>
    </row>
    <row r="2255" spans="1:2" x14ac:dyDescent="0.25">
      <c r="A2255" s="170"/>
      <c r="B2255" s="170"/>
    </row>
    <row r="2256" spans="1:2" x14ac:dyDescent="0.25">
      <c r="A2256" s="170"/>
      <c r="B2256" s="170"/>
    </row>
    <row r="2257" spans="1:2" x14ac:dyDescent="0.25">
      <c r="A2257" s="170"/>
      <c r="B2257" s="170"/>
    </row>
    <row r="2258" spans="1:2" x14ac:dyDescent="0.25">
      <c r="A2258" s="170"/>
      <c r="B2258" s="170"/>
    </row>
    <row r="2259" spans="1:2" x14ac:dyDescent="0.25">
      <c r="A2259" s="170"/>
      <c r="B2259" s="170"/>
    </row>
    <row r="2260" spans="1:2" x14ac:dyDescent="0.25">
      <c r="A2260" s="170"/>
      <c r="B2260" s="170"/>
    </row>
    <row r="2261" spans="1:2" x14ac:dyDescent="0.25">
      <c r="A2261" s="170"/>
      <c r="B2261" s="170"/>
    </row>
    <row r="2262" spans="1:2" x14ac:dyDescent="0.25">
      <c r="A2262" s="170"/>
      <c r="B2262" s="170"/>
    </row>
    <row r="2263" spans="1:2" x14ac:dyDescent="0.25">
      <c r="A2263" s="170"/>
      <c r="B2263" s="170"/>
    </row>
    <row r="2264" spans="1:2" x14ac:dyDescent="0.25">
      <c r="A2264" s="170"/>
      <c r="B2264" s="170"/>
    </row>
    <row r="2265" spans="1:2" x14ac:dyDescent="0.25">
      <c r="A2265" s="170"/>
      <c r="B2265" s="170"/>
    </row>
    <row r="2266" spans="1:2" x14ac:dyDescent="0.25">
      <c r="A2266" s="170"/>
      <c r="B2266" s="170"/>
    </row>
    <row r="2267" spans="1:2" x14ac:dyDescent="0.25">
      <c r="A2267" s="170"/>
      <c r="B2267" s="170"/>
    </row>
    <row r="2268" spans="1:2" x14ac:dyDescent="0.25">
      <c r="A2268" s="170"/>
      <c r="B2268" s="170"/>
    </row>
    <row r="2269" spans="1:2" x14ac:dyDescent="0.25">
      <c r="A2269" s="170"/>
      <c r="B2269" s="170"/>
    </row>
    <row r="2270" spans="1:2" x14ac:dyDescent="0.25">
      <c r="A2270" s="170"/>
      <c r="B2270" s="170"/>
    </row>
    <row r="2271" spans="1:2" x14ac:dyDescent="0.25">
      <c r="A2271" s="170"/>
      <c r="B2271" s="170"/>
    </row>
    <row r="2272" spans="1:2" x14ac:dyDescent="0.25">
      <c r="A2272" s="170"/>
      <c r="B2272" s="170"/>
    </row>
    <row r="2273" spans="1:2" x14ac:dyDescent="0.25">
      <c r="A2273" s="170"/>
      <c r="B2273" s="170"/>
    </row>
    <row r="2274" spans="1:2" x14ac:dyDescent="0.25">
      <c r="A2274" s="170"/>
      <c r="B2274" s="170"/>
    </row>
    <row r="2275" spans="1:2" x14ac:dyDescent="0.25">
      <c r="A2275" s="170"/>
      <c r="B2275" s="170"/>
    </row>
    <row r="2276" spans="1:2" x14ac:dyDescent="0.25">
      <c r="A2276" s="170"/>
      <c r="B2276" s="170"/>
    </row>
    <row r="2277" spans="1:2" x14ac:dyDescent="0.25">
      <c r="A2277" s="170"/>
      <c r="B2277" s="170"/>
    </row>
    <row r="2278" spans="1:2" x14ac:dyDescent="0.25">
      <c r="A2278" s="170"/>
      <c r="B2278" s="170"/>
    </row>
    <row r="2279" spans="1:2" x14ac:dyDescent="0.25">
      <c r="A2279" s="170"/>
      <c r="B2279" s="170"/>
    </row>
    <row r="2280" spans="1:2" x14ac:dyDescent="0.25">
      <c r="A2280" s="170"/>
      <c r="B2280" s="170"/>
    </row>
    <row r="2281" spans="1:2" x14ac:dyDescent="0.25">
      <c r="A2281" s="170"/>
      <c r="B2281" s="170"/>
    </row>
    <row r="2282" spans="1:2" x14ac:dyDescent="0.25">
      <c r="A2282" s="170"/>
      <c r="B2282" s="170"/>
    </row>
    <row r="2283" spans="1:2" x14ac:dyDescent="0.25">
      <c r="A2283" s="170"/>
      <c r="B2283" s="170"/>
    </row>
    <row r="2284" spans="1:2" x14ac:dyDescent="0.25">
      <c r="A2284" s="170"/>
      <c r="B2284" s="170"/>
    </row>
    <row r="2285" spans="1:2" x14ac:dyDescent="0.25">
      <c r="A2285" s="170"/>
      <c r="B2285" s="170"/>
    </row>
    <row r="2286" spans="1:2" x14ac:dyDescent="0.25">
      <c r="A2286" s="170"/>
      <c r="B2286" s="170"/>
    </row>
    <row r="2287" spans="1:2" x14ac:dyDescent="0.25">
      <c r="A2287" s="170"/>
      <c r="B2287" s="170"/>
    </row>
    <row r="2288" spans="1:2" x14ac:dyDescent="0.25">
      <c r="A2288" s="170"/>
      <c r="B2288" s="170"/>
    </row>
    <row r="2289" spans="1:2" x14ac:dyDescent="0.25">
      <c r="A2289" s="170"/>
      <c r="B2289" s="170"/>
    </row>
    <row r="2290" spans="1:2" x14ac:dyDescent="0.25">
      <c r="A2290" s="170"/>
      <c r="B2290" s="170"/>
    </row>
    <row r="2291" spans="1:2" x14ac:dyDescent="0.25">
      <c r="A2291" s="170"/>
      <c r="B2291" s="170"/>
    </row>
    <row r="2292" spans="1:2" x14ac:dyDescent="0.25">
      <c r="A2292" s="170"/>
      <c r="B2292" s="170"/>
    </row>
    <row r="2293" spans="1:2" x14ac:dyDescent="0.25">
      <c r="A2293" s="170"/>
      <c r="B2293" s="170"/>
    </row>
    <row r="2294" spans="1:2" x14ac:dyDescent="0.25">
      <c r="A2294" s="170"/>
      <c r="B2294" s="170"/>
    </row>
    <row r="2295" spans="1:2" x14ac:dyDescent="0.25">
      <c r="A2295" s="170"/>
      <c r="B2295" s="170"/>
    </row>
    <row r="2296" spans="1:2" x14ac:dyDescent="0.25">
      <c r="A2296" s="170"/>
      <c r="B2296" s="170"/>
    </row>
    <row r="2297" spans="1:2" x14ac:dyDescent="0.25">
      <c r="A2297" s="170"/>
      <c r="B2297" s="170"/>
    </row>
    <row r="2298" spans="1:2" x14ac:dyDescent="0.25">
      <c r="A2298" s="170"/>
      <c r="B2298" s="170"/>
    </row>
    <row r="2299" spans="1:2" x14ac:dyDescent="0.25">
      <c r="A2299" s="170"/>
      <c r="B2299" s="170"/>
    </row>
    <row r="2300" spans="1:2" x14ac:dyDescent="0.25">
      <c r="A2300" s="170"/>
      <c r="B2300" s="170"/>
    </row>
    <row r="2301" spans="1:2" x14ac:dyDescent="0.25">
      <c r="A2301" s="170"/>
      <c r="B2301" s="170"/>
    </row>
    <row r="2302" spans="1:2" x14ac:dyDescent="0.25">
      <c r="A2302" s="170"/>
      <c r="B2302" s="170"/>
    </row>
    <row r="2303" spans="1:2" x14ac:dyDescent="0.25">
      <c r="A2303" s="170"/>
      <c r="B2303" s="170"/>
    </row>
    <row r="2304" spans="1:2" x14ac:dyDescent="0.25">
      <c r="A2304" s="170"/>
      <c r="B2304" s="170"/>
    </row>
    <row r="2305" spans="1:2" x14ac:dyDescent="0.25">
      <c r="A2305" s="170"/>
      <c r="B2305" s="170"/>
    </row>
    <row r="2306" spans="1:2" x14ac:dyDescent="0.25">
      <c r="A2306" s="170"/>
      <c r="B2306" s="170"/>
    </row>
    <row r="2307" spans="1:2" x14ac:dyDescent="0.25">
      <c r="A2307" s="170"/>
      <c r="B2307" s="170"/>
    </row>
    <row r="2308" spans="1:2" x14ac:dyDescent="0.25">
      <c r="A2308" s="170"/>
      <c r="B2308" s="170"/>
    </row>
    <row r="2309" spans="1:2" x14ac:dyDescent="0.25">
      <c r="A2309" s="170"/>
      <c r="B2309" s="170"/>
    </row>
    <row r="2310" spans="1:2" x14ac:dyDescent="0.25">
      <c r="A2310" s="170"/>
      <c r="B2310" s="170"/>
    </row>
    <row r="2311" spans="1:2" x14ac:dyDescent="0.25">
      <c r="A2311" s="170"/>
      <c r="B2311" s="170"/>
    </row>
    <row r="2312" spans="1:2" x14ac:dyDescent="0.25">
      <c r="A2312" s="170"/>
      <c r="B2312" s="170"/>
    </row>
    <row r="2313" spans="1:2" x14ac:dyDescent="0.25">
      <c r="A2313" s="170"/>
      <c r="B2313" s="170"/>
    </row>
    <row r="2314" spans="1:2" x14ac:dyDescent="0.25">
      <c r="A2314" s="170"/>
      <c r="B2314" s="170"/>
    </row>
    <row r="2315" spans="1:2" x14ac:dyDescent="0.25">
      <c r="A2315" s="170"/>
      <c r="B2315" s="170"/>
    </row>
    <row r="2316" spans="1:2" x14ac:dyDescent="0.25">
      <c r="A2316" s="170"/>
      <c r="B2316" s="170"/>
    </row>
    <row r="2317" spans="1:2" x14ac:dyDescent="0.25">
      <c r="A2317" s="170"/>
      <c r="B2317" s="170"/>
    </row>
    <row r="2318" spans="1:2" x14ac:dyDescent="0.25">
      <c r="A2318" s="170"/>
      <c r="B2318" s="170"/>
    </row>
    <row r="2319" spans="1:2" x14ac:dyDescent="0.25">
      <c r="A2319" s="170"/>
      <c r="B2319" s="170"/>
    </row>
    <row r="2320" spans="1:2" x14ac:dyDescent="0.25">
      <c r="A2320" s="170"/>
      <c r="B2320" s="170"/>
    </row>
    <row r="2321" spans="1:2" x14ac:dyDescent="0.25">
      <c r="A2321" s="170"/>
      <c r="B2321" s="170"/>
    </row>
    <row r="2322" spans="1:2" x14ac:dyDescent="0.25">
      <c r="A2322" s="170"/>
      <c r="B2322" s="170"/>
    </row>
    <row r="2323" spans="1:2" x14ac:dyDescent="0.25">
      <c r="A2323" s="170"/>
      <c r="B2323" s="170"/>
    </row>
    <row r="2324" spans="1:2" x14ac:dyDescent="0.25">
      <c r="A2324" s="170"/>
      <c r="B2324" s="170"/>
    </row>
    <row r="2325" spans="1:2" x14ac:dyDescent="0.25">
      <c r="A2325" s="170"/>
      <c r="B2325" s="170"/>
    </row>
    <row r="2326" spans="1:2" x14ac:dyDescent="0.25">
      <c r="A2326" s="170"/>
      <c r="B2326" s="170"/>
    </row>
    <row r="2327" spans="1:2" x14ac:dyDescent="0.25">
      <c r="A2327" s="170"/>
      <c r="B2327" s="170"/>
    </row>
    <row r="2328" spans="1:2" x14ac:dyDescent="0.25">
      <c r="A2328" s="170"/>
      <c r="B2328" s="170"/>
    </row>
    <row r="2329" spans="1:2" x14ac:dyDescent="0.25">
      <c r="A2329" s="170"/>
      <c r="B2329" s="170"/>
    </row>
    <row r="2330" spans="1:2" x14ac:dyDescent="0.25">
      <c r="A2330" s="170"/>
      <c r="B2330" s="170"/>
    </row>
    <row r="2331" spans="1:2" x14ac:dyDescent="0.25">
      <c r="A2331" s="170"/>
      <c r="B2331" s="170"/>
    </row>
    <row r="2332" spans="1:2" x14ac:dyDescent="0.25">
      <c r="A2332" s="170"/>
      <c r="B2332" s="170"/>
    </row>
    <row r="2333" spans="1:2" x14ac:dyDescent="0.25">
      <c r="A2333" s="170"/>
      <c r="B2333" s="170"/>
    </row>
    <row r="2334" spans="1:2" x14ac:dyDescent="0.25">
      <c r="A2334" s="170"/>
      <c r="B2334" s="170"/>
    </row>
    <row r="2335" spans="1:2" x14ac:dyDescent="0.25">
      <c r="A2335" s="170"/>
      <c r="B2335" s="170"/>
    </row>
    <row r="2336" spans="1:2" x14ac:dyDescent="0.25">
      <c r="A2336" s="170"/>
      <c r="B2336" s="170"/>
    </row>
    <row r="2337" spans="1:2" x14ac:dyDescent="0.25">
      <c r="A2337" s="170"/>
      <c r="B2337" s="170"/>
    </row>
    <row r="2338" spans="1:2" x14ac:dyDescent="0.25">
      <c r="A2338" s="170"/>
      <c r="B2338" s="170"/>
    </row>
    <row r="2339" spans="1:2" x14ac:dyDescent="0.25">
      <c r="A2339" s="170"/>
      <c r="B2339" s="170"/>
    </row>
    <row r="2340" spans="1:2" x14ac:dyDescent="0.25">
      <c r="A2340" s="170"/>
      <c r="B2340" s="170"/>
    </row>
    <row r="2341" spans="1:2" x14ac:dyDescent="0.25">
      <c r="A2341" s="170"/>
      <c r="B2341" s="170"/>
    </row>
    <row r="2342" spans="1:2" x14ac:dyDescent="0.25">
      <c r="A2342" s="170"/>
      <c r="B2342" s="170"/>
    </row>
    <row r="2343" spans="1:2" x14ac:dyDescent="0.25">
      <c r="A2343" s="170"/>
      <c r="B2343" s="170"/>
    </row>
    <row r="2344" spans="1:2" x14ac:dyDescent="0.25">
      <c r="A2344" s="170"/>
      <c r="B2344" s="170"/>
    </row>
    <row r="2345" spans="1:2" x14ac:dyDescent="0.25">
      <c r="A2345" s="170"/>
      <c r="B2345" s="170"/>
    </row>
    <row r="2346" spans="1:2" x14ac:dyDescent="0.25">
      <c r="A2346" s="170"/>
      <c r="B2346" s="170"/>
    </row>
    <row r="2347" spans="1:2" x14ac:dyDescent="0.25">
      <c r="A2347" s="170"/>
      <c r="B2347" s="170"/>
    </row>
    <row r="2348" spans="1:2" x14ac:dyDescent="0.25">
      <c r="A2348" s="170"/>
      <c r="B2348" s="170"/>
    </row>
    <row r="2349" spans="1:2" x14ac:dyDescent="0.25">
      <c r="A2349" s="170"/>
      <c r="B2349" s="170"/>
    </row>
    <row r="2350" spans="1:2" x14ac:dyDescent="0.25">
      <c r="A2350" s="170"/>
      <c r="B2350" s="170"/>
    </row>
    <row r="2351" spans="1:2" x14ac:dyDescent="0.25">
      <c r="A2351" s="170"/>
      <c r="B2351" s="170"/>
    </row>
    <row r="2352" spans="1:2" x14ac:dyDescent="0.25">
      <c r="A2352" s="170"/>
      <c r="B2352" s="170"/>
    </row>
    <row r="2353" spans="1:2" x14ac:dyDescent="0.25">
      <c r="A2353" s="170"/>
      <c r="B2353" s="170"/>
    </row>
    <row r="2354" spans="1:2" x14ac:dyDescent="0.25">
      <c r="A2354" s="170"/>
      <c r="B2354" s="170"/>
    </row>
    <row r="2355" spans="1:2" x14ac:dyDescent="0.25">
      <c r="A2355" s="170"/>
      <c r="B2355" s="170"/>
    </row>
    <row r="2356" spans="1:2" x14ac:dyDescent="0.25">
      <c r="A2356" s="170"/>
      <c r="B2356" s="170"/>
    </row>
    <row r="2357" spans="1:2" x14ac:dyDescent="0.25">
      <c r="A2357" s="170"/>
      <c r="B2357" s="170"/>
    </row>
    <row r="2358" spans="1:2" x14ac:dyDescent="0.25">
      <c r="A2358" s="170"/>
      <c r="B2358" s="170"/>
    </row>
    <row r="2359" spans="1:2" x14ac:dyDescent="0.25">
      <c r="A2359" s="170"/>
      <c r="B2359" s="170"/>
    </row>
    <row r="2360" spans="1:2" x14ac:dyDescent="0.25">
      <c r="A2360" s="170"/>
      <c r="B2360" s="170"/>
    </row>
    <row r="2361" spans="1:2" x14ac:dyDescent="0.25">
      <c r="A2361" s="170"/>
      <c r="B2361" s="170"/>
    </row>
    <row r="2362" spans="1:2" x14ac:dyDescent="0.25">
      <c r="A2362" s="170"/>
      <c r="B2362" s="170"/>
    </row>
    <row r="2363" spans="1:2" x14ac:dyDescent="0.25">
      <c r="A2363" s="170"/>
      <c r="B2363" s="170"/>
    </row>
    <row r="2364" spans="1:2" x14ac:dyDescent="0.25">
      <c r="A2364" s="170"/>
      <c r="B2364" s="170"/>
    </row>
    <row r="2365" spans="1:2" x14ac:dyDescent="0.25">
      <c r="A2365" s="170"/>
      <c r="B2365" s="170"/>
    </row>
    <row r="2366" spans="1:2" x14ac:dyDescent="0.25">
      <c r="A2366" s="170"/>
      <c r="B2366" s="170"/>
    </row>
    <row r="2367" spans="1:2" x14ac:dyDescent="0.25">
      <c r="A2367" s="170"/>
      <c r="B2367" s="170"/>
    </row>
    <row r="2368" spans="1:2" x14ac:dyDescent="0.25">
      <c r="A2368" s="170"/>
      <c r="B2368" s="170"/>
    </row>
    <row r="2369" spans="1:2" x14ac:dyDescent="0.25">
      <c r="A2369" s="170"/>
      <c r="B2369" s="170"/>
    </row>
    <row r="2370" spans="1:2" x14ac:dyDescent="0.25">
      <c r="A2370" s="170"/>
      <c r="B2370" s="170"/>
    </row>
    <row r="2371" spans="1:2" x14ac:dyDescent="0.25">
      <c r="A2371" s="170"/>
      <c r="B2371" s="170"/>
    </row>
    <row r="2372" spans="1:2" x14ac:dyDescent="0.25">
      <c r="A2372" s="170"/>
      <c r="B2372" s="170"/>
    </row>
    <row r="2373" spans="1:2" x14ac:dyDescent="0.25">
      <c r="A2373" s="170"/>
      <c r="B2373" s="170"/>
    </row>
    <row r="2374" spans="1:2" x14ac:dyDescent="0.25">
      <c r="A2374" s="170"/>
      <c r="B2374" s="170"/>
    </row>
    <row r="2375" spans="1:2" x14ac:dyDescent="0.25">
      <c r="A2375" s="170"/>
      <c r="B2375" s="170"/>
    </row>
    <row r="2376" spans="1:2" x14ac:dyDescent="0.25">
      <c r="A2376" s="170"/>
      <c r="B2376" s="170"/>
    </row>
    <row r="2377" spans="1:2" x14ac:dyDescent="0.25">
      <c r="A2377" s="170"/>
      <c r="B2377" s="170"/>
    </row>
    <row r="2378" spans="1:2" x14ac:dyDescent="0.25">
      <c r="A2378" s="170"/>
      <c r="B2378" s="170"/>
    </row>
    <row r="2379" spans="1:2" x14ac:dyDescent="0.25">
      <c r="A2379" s="170"/>
      <c r="B2379" s="170"/>
    </row>
    <row r="2380" spans="1:2" x14ac:dyDescent="0.25">
      <c r="A2380" s="170"/>
      <c r="B2380" s="170"/>
    </row>
    <row r="2381" spans="1:2" x14ac:dyDescent="0.25">
      <c r="A2381" s="170"/>
      <c r="B2381" s="170"/>
    </row>
    <row r="2382" spans="1:2" x14ac:dyDescent="0.25">
      <c r="A2382" s="170"/>
      <c r="B2382" s="170"/>
    </row>
    <row r="2383" spans="1:2" x14ac:dyDescent="0.25">
      <c r="A2383" s="170"/>
      <c r="B2383" s="170"/>
    </row>
    <row r="2384" spans="1:2" x14ac:dyDescent="0.25">
      <c r="A2384" s="170"/>
      <c r="B2384" s="170"/>
    </row>
    <row r="2385" spans="1:2" x14ac:dyDescent="0.25">
      <c r="A2385" s="170"/>
      <c r="B2385" s="170"/>
    </row>
    <row r="2386" spans="1:2" x14ac:dyDescent="0.25">
      <c r="A2386" s="170"/>
      <c r="B2386" s="170"/>
    </row>
    <row r="2387" spans="1:2" x14ac:dyDescent="0.25">
      <c r="A2387" s="170"/>
      <c r="B2387" s="170"/>
    </row>
    <row r="2388" spans="1:2" x14ac:dyDescent="0.25">
      <c r="A2388" s="170"/>
      <c r="B2388" s="170"/>
    </row>
    <row r="2389" spans="1:2" x14ac:dyDescent="0.25">
      <c r="A2389" s="170"/>
      <c r="B2389" s="170"/>
    </row>
    <row r="2390" spans="1:2" x14ac:dyDescent="0.25">
      <c r="A2390" s="170"/>
      <c r="B2390" s="170"/>
    </row>
    <row r="2391" spans="1:2" x14ac:dyDescent="0.25">
      <c r="A2391" s="170"/>
      <c r="B2391" s="170"/>
    </row>
    <row r="2392" spans="1:2" x14ac:dyDescent="0.25">
      <c r="A2392" s="170"/>
      <c r="B2392" s="170"/>
    </row>
    <row r="2393" spans="1:2" x14ac:dyDescent="0.25">
      <c r="A2393" s="170"/>
      <c r="B2393" s="170"/>
    </row>
    <row r="2394" spans="1:2" x14ac:dyDescent="0.25">
      <c r="A2394" s="170"/>
      <c r="B2394" s="170"/>
    </row>
    <row r="2395" spans="1:2" x14ac:dyDescent="0.25">
      <c r="A2395" s="170"/>
      <c r="B2395" s="170"/>
    </row>
    <row r="2396" spans="1:2" x14ac:dyDescent="0.25">
      <c r="A2396" s="170"/>
      <c r="B2396" s="170"/>
    </row>
    <row r="2397" spans="1:2" x14ac:dyDescent="0.25">
      <c r="A2397" s="170"/>
      <c r="B2397" s="170"/>
    </row>
    <row r="2398" spans="1:2" x14ac:dyDescent="0.25">
      <c r="A2398" s="170"/>
      <c r="B2398" s="170"/>
    </row>
    <row r="2399" spans="1:2" x14ac:dyDescent="0.25">
      <c r="A2399" s="170"/>
      <c r="B2399" s="170"/>
    </row>
    <row r="2400" spans="1:2" x14ac:dyDescent="0.25">
      <c r="A2400" s="170"/>
      <c r="B2400" s="170"/>
    </row>
    <row r="2401" spans="1:2" x14ac:dyDescent="0.25">
      <c r="A2401" s="170"/>
      <c r="B2401" s="170"/>
    </row>
    <row r="2402" spans="1:2" x14ac:dyDescent="0.25">
      <c r="A2402" s="170"/>
      <c r="B2402" s="170"/>
    </row>
    <row r="2403" spans="1:2" x14ac:dyDescent="0.25">
      <c r="A2403" s="170"/>
      <c r="B2403" s="170"/>
    </row>
    <row r="2404" spans="1:2" x14ac:dyDescent="0.25">
      <c r="A2404" s="170"/>
      <c r="B2404" s="170"/>
    </row>
    <row r="2405" spans="1:2" x14ac:dyDescent="0.25">
      <c r="A2405" s="170"/>
      <c r="B2405" s="170"/>
    </row>
    <row r="2406" spans="1:2" x14ac:dyDescent="0.25">
      <c r="A2406" s="170"/>
      <c r="B2406" s="170"/>
    </row>
    <row r="2407" spans="1:2" x14ac:dyDescent="0.25">
      <c r="A2407" s="170"/>
      <c r="B2407" s="170"/>
    </row>
    <row r="2408" spans="1:2" x14ac:dyDescent="0.25">
      <c r="A2408" s="170"/>
      <c r="B2408" s="170"/>
    </row>
    <row r="2409" spans="1:2" x14ac:dyDescent="0.25">
      <c r="A2409" s="170"/>
      <c r="B2409" s="170"/>
    </row>
    <row r="2410" spans="1:2" x14ac:dyDescent="0.25">
      <c r="A2410" s="170"/>
      <c r="B2410" s="170"/>
    </row>
    <row r="2411" spans="1:2" x14ac:dyDescent="0.25">
      <c r="A2411" s="170"/>
      <c r="B2411" s="170"/>
    </row>
    <row r="2412" spans="1:2" x14ac:dyDescent="0.25">
      <c r="A2412" s="170"/>
      <c r="B2412" s="170"/>
    </row>
    <row r="2413" spans="1:2" x14ac:dyDescent="0.25">
      <c r="A2413" s="170"/>
      <c r="B2413" s="170"/>
    </row>
    <row r="2414" spans="1:2" x14ac:dyDescent="0.25">
      <c r="A2414" s="170"/>
      <c r="B2414" s="170"/>
    </row>
    <row r="2415" spans="1:2" x14ac:dyDescent="0.25">
      <c r="A2415" s="170"/>
      <c r="B2415" s="170"/>
    </row>
    <row r="2416" spans="1:2" x14ac:dyDescent="0.25">
      <c r="A2416" s="170"/>
      <c r="B2416" s="170"/>
    </row>
    <row r="2417" spans="1:2" x14ac:dyDescent="0.25">
      <c r="A2417" s="170"/>
      <c r="B2417" s="170"/>
    </row>
    <row r="2418" spans="1:2" x14ac:dyDescent="0.25">
      <c r="A2418" s="170"/>
      <c r="B2418" s="170"/>
    </row>
    <row r="2419" spans="1:2" x14ac:dyDescent="0.25">
      <c r="A2419" s="170"/>
      <c r="B2419" s="170"/>
    </row>
    <row r="2420" spans="1:2" x14ac:dyDescent="0.25">
      <c r="A2420" s="170"/>
      <c r="B2420" s="170"/>
    </row>
    <row r="2421" spans="1:2" x14ac:dyDescent="0.25">
      <c r="A2421" s="170"/>
      <c r="B2421" s="170"/>
    </row>
    <row r="2422" spans="1:2" x14ac:dyDescent="0.25">
      <c r="A2422" s="170"/>
      <c r="B2422" s="170"/>
    </row>
    <row r="2423" spans="1:2" x14ac:dyDescent="0.25">
      <c r="A2423" s="170"/>
      <c r="B2423" s="170"/>
    </row>
    <row r="2424" spans="1:2" x14ac:dyDescent="0.25">
      <c r="A2424" s="170"/>
      <c r="B2424" s="170"/>
    </row>
    <row r="2425" spans="1:2" x14ac:dyDescent="0.25">
      <c r="A2425" s="170"/>
      <c r="B2425" s="170"/>
    </row>
    <row r="2426" spans="1:2" x14ac:dyDescent="0.25">
      <c r="A2426" s="170"/>
      <c r="B2426" s="170"/>
    </row>
    <row r="2427" spans="1:2" x14ac:dyDescent="0.25">
      <c r="A2427" s="170"/>
      <c r="B2427" s="170"/>
    </row>
    <row r="2428" spans="1:2" x14ac:dyDescent="0.25">
      <c r="A2428" s="170"/>
      <c r="B2428" s="170"/>
    </row>
    <row r="2429" spans="1:2" x14ac:dyDescent="0.25">
      <c r="A2429" s="170"/>
      <c r="B2429" s="170"/>
    </row>
    <row r="2430" spans="1:2" x14ac:dyDescent="0.25">
      <c r="A2430" s="170"/>
      <c r="B2430" s="170"/>
    </row>
    <row r="2431" spans="1:2" x14ac:dyDescent="0.25">
      <c r="A2431" s="170"/>
      <c r="B2431" s="170"/>
    </row>
    <row r="2432" spans="1:2" x14ac:dyDescent="0.25">
      <c r="A2432" s="170"/>
      <c r="B2432" s="170"/>
    </row>
    <row r="2433" spans="1:2" x14ac:dyDescent="0.25">
      <c r="A2433" s="170"/>
      <c r="B2433" s="170"/>
    </row>
    <row r="2434" spans="1:2" x14ac:dyDescent="0.25">
      <c r="A2434" s="170"/>
      <c r="B2434" s="170"/>
    </row>
    <row r="2435" spans="1:2" x14ac:dyDescent="0.25">
      <c r="A2435" s="170"/>
      <c r="B2435" s="170"/>
    </row>
    <row r="2436" spans="1:2" x14ac:dyDescent="0.25">
      <c r="A2436" s="170"/>
      <c r="B2436" s="170"/>
    </row>
    <row r="2437" spans="1:2" x14ac:dyDescent="0.25">
      <c r="A2437" s="170"/>
      <c r="B2437" s="170"/>
    </row>
    <row r="2438" spans="1:2" x14ac:dyDescent="0.25">
      <c r="A2438" s="170"/>
      <c r="B2438" s="170"/>
    </row>
    <row r="2439" spans="1:2" x14ac:dyDescent="0.25">
      <c r="A2439" s="170"/>
      <c r="B2439" s="170"/>
    </row>
    <row r="2440" spans="1:2" x14ac:dyDescent="0.25">
      <c r="A2440" s="170"/>
      <c r="B2440" s="170"/>
    </row>
    <row r="2441" spans="1:2" x14ac:dyDescent="0.25">
      <c r="A2441" s="170"/>
      <c r="B2441" s="170"/>
    </row>
    <row r="2442" spans="1:2" x14ac:dyDescent="0.25">
      <c r="A2442" s="170"/>
      <c r="B2442" s="170"/>
    </row>
    <row r="2443" spans="1:2" x14ac:dyDescent="0.25">
      <c r="A2443" s="170"/>
      <c r="B2443" s="170"/>
    </row>
    <row r="2444" spans="1:2" x14ac:dyDescent="0.25">
      <c r="A2444" s="170"/>
      <c r="B2444" s="170"/>
    </row>
    <row r="2445" spans="1:2" x14ac:dyDescent="0.25">
      <c r="A2445" s="170"/>
      <c r="B2445" s="170"/>
    </row>
    <row r="2446" spans="1:2" x14ac:dyDescent="0.25">
      <c r="A2446" s="170"/>
      <c r="B2446" s="170"/>
    </row>
    <row r="2447" spans="1:2" x14ac:dyDescent="0.25">
      <c r="A2447" s="170"/>
      <c r="B2447" s="170"/>
    </row>
    <row r="2448" spans="1:2" x14ac:dyDescent="0.25">
      <c r="A2448" s="170"/>
      <c r="B2448" s="170"/>
    </row>
    <row r="2449" spans="1:2" x14ac:dyDescent="0.25">
      <c r="A2449" s="170"/>
      <c r="B2449" s="170"/>
    </row>
    <row r="2450" spans="1:2" x14ac:dyDescent="0.25">
      <c r="A2450" s="170"/>
      <c r="B2450" s="170"/>
    </row>
    <row r="2451" spans="1:2" x14ac:dyDescent="0.25">
      <c r="A2451" s="170"/>
      <c r="B2451" s="170"/>
    </row>
    <row r="2452" spans="1:2" x14ac:dyDescent="0.25">
      <c r="A2452" s="170"/>
      <c r="B2452" s="170"/>
    </row>
    <row r="2453" spans="1:2" x14ac:dyDescent="0.25">
      <c r="A2453" s="170"/>
      <c r="B2453" s="170"/>
    </row>
    <row r="2454" spans="1:2" x14ac:dyDescent="0.25">
      <c r="A2454" s="170"/>
      <c r="B2454" s="170"/>
    </row>
    <row r="2455" spans="1:2" x14ac:dyDescent="0.25">
      <c r="A2455" s="170"/>
      <c r="B2455" s="170"/>
    </row>
    <row r="2456" spans="1:2" x14ac:dyDescent="0.25">
      <c r="A2456" s="170"/>
      <c r="B2456" s="170"/>
    </row>
    <row r="2457" spans="1:2" x14ac:dyDescent="0.25">
      <c r="A2457" s="170"/>
      <c r="B2457" s="170"/>
    </row>
    <row r="2458" spans="1:2" x14ac:dyDescent="0.25">
      <c r="A2458" s="170"/>
      <c r="B2458" s="170"/>
    </row>
    <row r="2459" spans="1:2" x14ac:dyDescent="0.25">
      <c r="A2459" s="170"/>
      <c r="B2459" s="170"/>
    </row>
    <row r="2460" spans="1:2" x14ac:dyDescent="0.25">
      <c r="A2460" s="170"/>
      <c r="B2460" s="170"/>
    </row>
    <row r="2461" spans="1:2" x14ac:dyDescent="0.25">
      <c r="A2461" s="170"/>
      <c r="B2461" s="170"/>
    </row>
    <row r="2462" spans="1:2" x14ac:dyDescent="0.25">
      <c r="A2462" s="170"/>
      <c r="B2462" s="170"/>
    </row>
    <row r="2463" spans="1:2" x14ac:dyDescent="0.25">
      <c r="A2463" s="170"/>
      <c r="B2463" s="170"/>
    </row>
    <row r="2464" spans="1:2" x14ac:dyDescent="0.25">
      <c r="A2464" s="170"/>
      <c r="B2464" s="170"/>
    </row>
    <row r="2465" spans="1:2" x14ac:dyDescent="0.25">
      <c r="A2465" s="170"/>
      <c r="B2465" s="170"/>
    </row>
    <row r="2466" spans="1:2" x14ac:dyDescent="0.25">
      <c r="A2466" s="170"/>
      <c r="B2466" s="170"/>
    </row>
    <row r="2467" spans="1:2" x14ac:dyDescent="0.25">
      <c r="A2467" s="170"/>
      <c r="B2467" s="170"/>
    </row>
    <row r="2468" spans="1:2" x14ac:dyDescent="0.25">
      <c r="A2468" s="170"/>
      <c r="B2468" s="170"/>
    </row>
    <row r="2469" spans="1:2" x14ac:dyDescent="0.25">
      <c r="A2469" s="170"/>
      <c r="B2469" s="170"/>
    </row>
    <row r="2470" spans="1:2" x14ac:dyDescent="0.25">
      <c r="A2470" s="170"/>
      <c r="B2470" s="170"/>
    </row>
    <row r="2471" spans="1:2" x14ac:dyDescent="0.25">
      <c r="A2471" s="170"/>
      <c r="B2471" s="170"/>
    </row>
    <row r="2472" spans="1:2" x14ac:dyDescent="0.25">
      <c r="A2472" s="170"/>
      <c r="B2472" s="170"/>
    </row>
    <row r="2473" spans="1:2" x14ac:dyDescent="0.25">
      <c r="A2473" s="170"/>
      <c r="B2473" s="170"/>
    </row>
    <row r="2474" spans="1:2" x14ac:dyDescent="0.25">
      <c r="A2474" s="170"/>
      <c r="B2474" s="170"/>
    </row>
    <row r="2475" spans="1:2" x14ac:dyDescent="0.25">
      <c r="A2475" s="170"/>
      <c r="B2475" s="170"/>
    </row>
    <row r="2476" spans="1:2" x14ac:dyDescent="0.25">
      <c r="A2476" s="170"/>
      <c r="B2476" s="170"/>
    </row>
    <row r="2477" spans="1:2" x14ac:dyDescent="0.25">
      <c r="A2477" s="170"/>
      <c r="B2477" s="170"/>
    </row>
    <row r="2478" spans="1:2" x14ac:dyDescent="0.25">
      <c r="A2478" s="170"/>
      <c r="B2478" s="170"/>
    </row>
    <row r="2479" spans="1:2" x14ac:dyDescent="0.25">
      <c r="A2479" s="170"/>
      <c r="B2479" s="170"/>
    </row>
    <row r="2480" spans="1:2" x14ac:dyDescent="0.25">
      <c r="A2480" s="170"/>
      <c r="B2480" s="170"/>
    </row>
    <row r="2481" spans="1:2" x14ac:dyDescent="0.25">
      <c r="A2481" s="170"/>
      <c r="B2481" s="170"/>
    </row>
    <row r="2482" spans="1:2" x14ac:dyDescent="0.25">
      <c r="A2482" s="170"/>
      <c r="B2482" s="170"/>
    </row>
    <row r="2483" spans="1:2" x14ac:dyDescent="0.25">
      <c r="A2483" s="170"/>
      <c r="B2483" s="170"/>
    </row>
    <row r="2484" spans="1:2" x14ac:dyDescent="0.25">
      <c r="A2484" s="170"/>
      <c r="B2484" s="170"/>
    </row>
    <row r="2485" spans="1:2" x14ac:dyDescent="0.25">
      <c r="A2485" s="170"/>
      <c r="B2485" s="170"/>
    </row>
    <row r="2486" spans="1:2" x14ac:dyDescent="0.25">
      <c r="A2486" s="170"/>
      <c r="B2486" s="170"/>
    </row>
    <row r="2487" spans="1:2" x14ac:dyDescent="0.25">
      <c r="A2487" s="170"/>
      <c r="B2487" s="170"/>
    </row>
    <row r="2488" spans="1:2" x14ac:dyDescent="0.25">
      <c r="A2488" s="170"/>
      <c r="B2488" s="170"/>
    </row>
    <row r="2489" spans="1:2" x14ac:dyDescent="0.25">
      <c r="A2489" s="170"/>
      <c r="B2489" s="170"/>
    </row>
    <row r="2490" spans="1:2" x14ac:dyDescent="0.25">
      <c r="A2490" s="170"/>
      <c r="B2490" s="170"/>
    </row>
    <row r="2491" spans="1:2" x14ac:dyDescent="0.25">
      <c r="A2491" s="170"/>
      <c r="B2491" s="170"/>
    </row>
    <row r="2492" spans="1:2" x14ac:dyDescent="0.25">
      <c r="A2492" s="170"/>
      <c r="B2492" s="170"/>
    </row>
    <row r="2493" spans="1:2" x14ac:dyDescent="0.25">
      <c r="A2493" s="170"/>
      <c r="B2493" s="170"/>
    </row>
    <row r="2494" spans="1:2" x14ac:dyDescent="0.25">
      <c r="A2494" s="170"/>
      <c r="B2494" s="170"/>
    </row>
    <row r="2495" spans="1:2" x14ac:dyDescent="0.25">
      <c r="A2495" s="170"/>
      <c r="B2495" s="170"/>
    </row>
    <row r="2496" spans="1:2" x14ac:dyDescent="0.25">
      <c r="A2496" s="170"/>
      <c r="B2496" s="170"/>
    </row>
    <row r="2497" spans="1:2" x14ac:dyDescent="0.25">
      <c r="A2497" s="170"/>
      <c r="B2497" s="170"/>
    </row>
    <row r="2498" spans="1:2" x14ac:dyDescent="0.25">
      <c r="A2498" s="170"/>
      <c r="B2498" s="170"/>
    </row>
    <row r="2499" spans="1:2" x14ac:dyDescent="0.25">
      <c r="A2499" s="170"/>
      <c r="B2499" s="170"/>
    </row>
    <row r="2500" spans="1:2" x14ac:dyDescent="0.25">
      <c r="A2500" s="170"/>
      <c r="B2500" s="170"/>
    </row>
    <row r="2501" spans="1:2" x14ac:dyDescent="0.25">
      <c r="A2501" s="170"/>
      <c r="B2501" s="170"/>
    </row>
    <row r="2502" spans="1:2" x14ac:dyDescent="0.25">
      <c r="A2502" s="170"/>
      <c r="B2502" s="170"/>
    </row>
    <row r="2503" spans="1:2" x14ac:dyDescent="0.25">
      <c r="A2503" s="170"/>
      <c r="B2503" s="170"/>
    </row>
    <row r="2504" spans="1:2" x14ac:dyDescent="0.25">
      <c r="A2504" s="170"/>
      <c r="B2504" s="170"/>
    </row>
    <row r="2505" spans="1:2" x14ac:dyDescent="0.25">
      <c r="A2505" s="170"/>
      <c r="B2505" s="170"/>
    </row>
    <row r="2506" spans="1:2" x14ac:dyDescent="0.25">
      <c r="A2506" s="170"/>
      <c r="B2506" s="170"/>
    </row>
    <row r="2507" spans="1:2" x14ac:dyDescent="0.25">
      <c r="A2507" s="170"/>
      <c r="B2507" s="170"/>
    </row>
    <row r="2508" spans="1:2" x14ac:dyDescent="0.25">
      <c r="A2508" s="170"/>
      <c r="B2508" s="170"/>
    </row>
    <row r="2509" spans="1:2" x14ac:dyDescent="0.25">
      <c r="A2509" s="170"/>
      <c r="B2509" s="170"/>
    </row>
    <row r="2510" spans="1:2" x14ac:dyDescent="0.25">
      <c r="A2510" s="170"/>
      <c r="B2510" s="170"/>
    </row>
    <row r="2511" spans="1:2" x14ac:dyDescent="0.25">
      <c r="A2511" s="170"/>
      <c r="B2511" s="170"/>
    </row>
    <row r="2512" spans="1:2" x14ac:dyDescent="0.25">
      <c r="A2512" s="170"/>
      <c r="B2512" s="170"/>
    </row>
    <row r="2513" spans="1:2" x14ac:dyDescent="0.25">
      <c r="A2513" s="170"/>
      <c r="B2513" s="170"/>
    </row>
    <row r="2514" spans="1:2" x14ac:dyDescent="0.25">
      <c r="A2514" s="170"/>
      <c r="B2514" s="170"/>
    </row>
    <row r="2515" spans="1:2" x14ac:dyDescent="0.25">
      <c r="A2515" s="170"/>
      <c r="B2515" s="170"/>
    </row>
    <row r="2516" spans="1:2" x14ac:dyDescent="0.25">
      <c r="A2516" s="170"/>
      <c r="B2516" s="170"/>
    </row>
    <row r="2517" spans="1:2" x14ac:dyDescent="0.25">
      <c r="A2517" s="170"/>
      <c r="B2517" s="170"/>
    </row>
    <row r="2518" spans="1:2" x14ac:dyDescent="0.25">
      <c r="A2518" s="170"/>
      <c r="B2518" s="170"/>
    </row>
    <row r="2519" spans="1:2" x14ac:dyDescent="0.25">
      <c r="A2519" s="170"/>
      <c r="B2519" s="170"/>
    </row>
    <row r="2520" spans="1:2" x14ac:dyDescent="0.25">
      <c r="A2520" s="170"/>
      <c r="B2520" s="170"/>
    </row>
    <row r="2521" spans="1:2" x14ac:dyDescent="0.25">
      <c r="A2521" s="170"/>
      <c r="B2521" s="170"/>
    </row>
    <row r="2522" spans="1:2" x14ac:dyDescent="0.25">
      <c r="A2522" s="170"/>
      <c r="B2522" s="170"/>
    </row>
    <row r="2523" spans="1:2" x14ac:dyDescent="0.25">
      <c r="A2523" s="170"/>
      <c r="B2523" s="170"/>
    </row>
    <row r="2524" spans="1:2" x14ac:dyDescent="0.25">
      <c r="A2524" s="170"/>
      <c r="B2524" s="170"/>
    </row>
    <row r="2525" spans="1:2" x14ac:dyDescent="0.25">
      <c r="A2525" s="170"/>
      <c r="B2525" s="170"/>
    </row>
    <row r="2526" spans="1:2" x14ac:dyDescent="0.25">
      <c r="A2526" s="170"/>
      <c r="B2526" s="170"/>
    </row>
    <row r="2527" spans="1:2" x14ac:dyDescent="0.25">
      <c r="A2527" s="170"/>
      <c r="B2527" s="170"/>
    </row>
    <row r="2528" spans="1:2" x14ac:dyDescent="0.25">
      <c r="A2528" s="170"/>
      <c r="B2528" s="170"/>
    </row>
    <row r="2529" spans="1:2" x14ac:dyDescent="0.25">
      <c r="A2529" s="170"/>
      <c r="B2529" s="170"/>
    </row>
    <row r="2530" spans="1:2" x14ac:dyDescent="0.25">
      <c r="A2530" s="170"/>
      <c r="B2530" s="170"/>
    </row>
    <row r="2531" spans="1:2" x14ac:dyDescent="0.25">
      <c r="A2531" s="170"/>
      <c r="B2531" s="170"/>
    </row>
    <row r="2532" spans="1:2" x14ac:dyDescent="0.25">
      <c r="A2532" s="170"/>
      <c r="B2532" s="170"/>
    </row>
    <row r="2533" spans="1:2" x14ac:dyDescent="0.25">
      <c r="A2533" s="170"/>
      <c r="B2533" s="170"/>
    </row>
    <row r="2534" spans="1:2" x14ac:dyDescent="0.25">
      <c r="A2534" s="170"/>
      <c r="B2534" s="170"/>
    </row>
    <row r="2535" spans="1:2" x14ac:dyDescent="0.25">
      <c r="A2535" s="170"/>
      <c r="B2535" s="170"/>
    </row>
    <row r="2536" spans="1:2" x14ac:dyDescent="0.25">
      <c r="A2536" s="170"/>
      <c r="B2536" s="170"/>
    </row>
    <row r="2537" spans="1:2" x14ac:dyDescent="0.25">
      <c r="A2537" s="170"/>
      <c r="B2537" s="170"/>
    </row>
    <row r="2538" spans="1:2" x14ac:dyDescent="0.25">
      <c r="A2538" s="170"/>
      <c r="B2538" s="170"/>
    </row>
    <row r="2539" spans="1:2" x14ac:dyDescent="0.25">
      <c r="A2539" s="170"/>
      <c r="B2539" s="170"/>
    </row>
    <row r="2540" spans="1:2" x14ac:dyDescent="0.25">
      <c r="A2540" s="170"/>
      <c r="B2540" s="170"/>
    </row>
    <row r="2541" spans="1:2" x14ac:dyDescent="0.25">
      <c r="A2541" s="170"/>
      <c r="B2541" s="170"/>
    </row>
    <row r="2542" spans="1:2" x14ac:dyDescent="0.25">
      <c r="A2542" s="170"/>
      <c r="B2542" s="170"/>
    </row>
    <row r="2543" spans="1:2" x14ac:dyDescent="0.25">
      <c r="A2543" s="170"/>
      <c r="B2543" s="170"/>
    </row>
    <row r="2544" spans="1:2" x14ac:dyDescent="0.25">
      <c r="A2544" s="170"/>
      <c r="B2544" s="170"/>
    </row>
    <row r="2545" spans="1:2" x14ac:dyDescent="0.25">
      <c r="A2545" s="170"/>
      <c r="B2545" s="170"/>
    </row>
    <row r="2546" spans="1:2" x14ac:dyDescent="0.25">
      <c r="A2546" s="170"/>
      <c r="B2546" s="170"/>
    </row>
    <row r="2547" spans="1:2" x14ac:dyDescent="0.25">
      <c r="A2547" s="170"/>
      <c r="B2547" s="170"/>
    </row>
    <row r="2548" spans="1:2" x14ac:dyDescent="0.25">
      <c r="A2548" s="170"/>
      <c r="B2548" s="170"/>
    </row>
    <row r="2549" spans="1:2" x14ac:dyDescent="0.25">
      <c r="A2549" s="170"/>
      <c r="B2549" s="170"/>
    </row>
    <row r="2550" spans="1:2" x14ac:dyDescent="0.25">
      <c r="A2550" s="170"/>
      <c r="B2550" s="170"/>
    </row>
    <row r="2551" spans="1:2" x14ac:dyDescent="0.25">
      <c r="A2551" s="170"/>
      <c r="B2551" s="170"/>
    </row>
    <row r="2552" spans="1:2" x14ac:dyDescent="0.25">
      <c r="A2552" s="170"/>
      <c r="B2552" s="170"/>
    </row>
    <row r="2553" spans="1:2" x14ac:dyDescent="0.25">
      <c r="A2553" s="170"/>
      <c r="B2553" s="170"/>
    </row>
    <row r="2554" spans="1:2" x14ac:dyDescent="0.25">
      <c r="A2554" s="170"/>
      <c r="B2554" s="170"/>
    </row>
    <row r="2555" spans="1:2" x14ac:dyDescent="0.25">
      <c r="A2555" s="170"/>
      <c r="B2555" s="170"/>
    </row>
    <row r="2556" spans="1:2" x14ac:dyDescent="0.25">
      <c r="A2556" s="170"/>
      <c r="B2556" s="170"/>
    </row>
    <row r="2557" spans="1:2" x14ac:dyDescent="0.25">
      <c r="A2557" s="170"/>
      <c r="B2557" s="170"/>
    </row>
    <row r="2558" spans="1:2" x14ac:dyDescent="0.25">
      <c r="A2558" s="170"/>
      <c r="B2558" s="170"/>
    </row>
    <row r="2559" spans="1:2" x14ac:dyDescent="0.25">
      <c r="A2559" s="170"/>
      <c r="B2559" s="170"/>
    </row>
    <row r="2560" spans="1:2" x14ac:dyDescent="0.25">
      <c r="A2560" s="170"/>
      <c r="B2560" s="170"/>
    </row>
    <row r="2561" spans="1:2" x14ac:dyDescent="0.25">
      <c r="A2561" s="170"/>
      <c r="B2561" s="170"/>
    </row>
    <row r="2562" spans="1:2" x14ac:dyDescent="0.25">
      <c r="A2562" s="170"/>
      <c r="B2562" s="170"/>
    </row>
    <row r="2563" spans="1:2" x14ac:dyDescent="0.25">
      <c r="A2563" s="170"/>
      <c r="B2563" s="170"/>
    </row>
    <row r="2564" spans="1:2" x14ac:dyDescent="0.25">
      <c r="A2564" s="170"/>
      <c r="B2564" s="170"/>
    </row>
    <row r="2565" spans="1:2" x14ac:dyDescent="0.25">
      <c r="A2565" s="170"/>
      <c r="B2565" s="170"/>
    </row>
    <row r="2566" spans="1:2" x14ac:dyDescent="0.25">
      <c r="A2566" s="170"/>
      <c r="B2566" s="170"/>
    </row>
    <row r="2567" spans="1:2" x14ac:dyDescent="0.25">
      <c r="A2567" s="170"/>
      <c r="B2567" s="170"/>
    </row>
    <row r="2568" spans="1:2" x14ac:dyDescent="0.25">
      <c r="A2568" s="170"/>
      <c r="B2568" s="170"/>
    </row>
    <row r="2569" spans="1:2" x14ac:dyDescent="0.25">
      <c r="A2569" s="170"/>
      <c r="B2569" s="170"/>
    </row>
    <row r="2570" spans="1:2" x14ac:dyDescent="0.25">
      <c r="A2570" s="170"/>
      <c r="B2570" s="170"/>
    </row>
    <row r="2571" spans="1:2" x14ac:dyDescent="0.25">
      <c r="A2571" s="170"/>
      <c r="B2571" s="170"/>
    </row>
    <row r="2572" spans="1:2" x14ac:dyDescent="0.25">
      <c r="A2572" s="170"/>
      <c r="B2572" s="170"/>
    </row>
    <row r="2573" spans="1:2" x14ac:dyDescent="0.25">
      <c r="A2573" s="170"/>
      <c r="B2573" s="170"/>
    </row>
    <row r="2574" spans="1:2" x14ac:dyDescent="0.25">
      <c r="A2574" s="170"/>
      <c r="B2574" s="170"/>
    </row>
    <row r="2575" spans="1:2" x14ac:dyDescent="0.25">
      <c r="A2575" s="170"/>
      <c r="B2575" s="170"/>
    </row>
    <row r="2576" spans="1:2" x14ac:dyDescent="0.25">
      <c r="A2576" s="170"/>
      <c r="B2576" s="170"/>
    </row>
    <row r="2577" spans="1:2" x14ac:dyDescent="0.25">
      <c r="A2577" s="170"/>
      <c r="B2577" s="170"/>
    </row>
    <row r="2578" spans="1:2" x14ac:dyDescent="0.25">
      <c r="A2578" s="170"/>
      <c r="B2578" s="170"/>
    </row>
    <row r="2579" spans="1:2" x14ac:dyDescent="0.25">
      <c r="A2579" s="170"/>
      <c r="B2579" s="170"/>
    </row>
    <row r="2580" spans="1:2" x14ac:dyDescent="0.25">
      <c r="A2580" s="170"/>
      <c r="B2580" s="170"/>
    </row>
    <row r="2581" spans="1:2" x14ac:dyDescent="0.25">
      <c r="A2581" s="170"/>
      <c r="B2581" s="170"/>
    </row>
    <row r="2582" spans="1:2" x14ac:dyDescent="0.25">
      <c r="A2582" s="170"/>
      <c r="B2582" s="170"/>
    </row>
    <row r="2583" spans="1:2" x14ac:dyDescent="0.25">
      <c r="A2583" s="170"/>
      <c r="B2583" s="170"/>
    </row>
    <row r="2584" spans="1:2" x14ac:dyDescent="0.25">
      <c r="A2584" s="170"/>
      <c r="B2584" s="170"/>
    </row>
    <row r="2585" spans="1:2" x14ac:dyDescent="0.25">
      <c r="A2585" s="170"/>
      <c r="B2585" s="170"/>
    </row>
    <row r="2586" spans="1:2" x14ac:dyDescent="0.25">
      <c r="A2586" s="170"/>
      <c r="B2586" s="170"/>
    </row>
    <row r="2587" spans="1:2" x14ac:dyDescent="0.25">
      <c r="A2587" s="170"/>
      <c r="B2587" s="170"/>
    </row>
    <row r="2588" spans="1:2" x14ac:dyDescent="0.25">
      <c r="A2588" s="170"/>
      <c r="B2588" s="170"/>
    </row>
    <row r="2589" spans="1:2" x14ac:dyDescent="0.25">
      <c r="A2589" s="170"/>
      <c r="B2589" s="170"/>
    </row>
    <row r="2590" spans="1:2" x14ac:dyDescent="0.25">
      <c r="A2590" s="170"/>
      <c r="B2590" s="170"/>
    </row>
    <row r="2591" spans="1:2" x14ac:dyDescent="0.25">
      <c r="A2591" s="170"/>
      <c r="B2591" s="170"/>
    </row>
    <row r="2592" spans="1:2" x14ac:dyDescent="0.25">
      <c r="A2592" s="170"/>
      <c r="B2592" s="170"/>
    </row>
    <row r="2593" spans="1:2" x14ac:dyDescent="0.25">
      <c r="A2593" s="170"/>
      <c r="B2593" s="170"/>
    </row>
    <row r="2594" spans="1:2" x14ac:dyDescent="0.25">
      <c r="A2594" s="170"/>
      <c r="B2594" s="170"/>
    </row>
    <row r="2595" spans="1:2" x14ac:dyDescent="0.25">
      <c r="A2595" s="170"/>
      <c r="B2595" s="170"/>
    </row>
    <row r="2596" spans="1:2" x14ac:dyDescent="0.25">
      <c r="A2596" s="170"/>
      <c r="B2596" s="170"/>
    </row>
    <row r="2597" spans="1:2" x14ac:dyDescent="0.25">
      <c r="A2597" s="170"/>
      <c r="B2597" s="170"/>
    </row>
    <row r="2598" spans="1:2" x14ac:dyDescent="0.25">
      <c r="A2598" s="170"/>
      <c r="B2598" s="170"/>
    </row>
    <row r="2599" spans="1:2" x14ac:dyDescent="0.25">
      <c r="A2599" s="170"/>
      <c r="B2599" s="170"/>
    </row>
    <row r="2600" spans="1:2" x14ac:dyDescent="0.25">
      <c r="A2600" s="170"/>
      <c r="B2600" s="170"/>
    </row>
    <row r="2601" spans="1:2" x14ac:dyDescent="0.25">
      <c r="A2601" s="170"/>
      <c r="B2601" s="170"/>
    </row>
    <row r="2602" spans="1:2" x14ac:dyDescent="0.25">
      <c r="A2602" s="170"/>
      <c r="B2602" s="170"/>
    </row>
    <row r="2603" spans="1:2" x14ac:dyDescent="0.25">
      <c r="A2603" s="170"/>
      <c r="B2603" s="170"/>
    </row>
    <row r="2604" spans="1:2" x14ac:dyDescent="0.25">
      <c r="A2604" s="170"/>
      <c r="B2604" s="170"/>
    </row>
    <row r="2605" spans="1:2" x14ac:dyDescent="0.25">
      <c r="A2605" s="170"/>
      <c r="B2605" s="170"/>
    </row>
    <row r="2606" spans="1:2" x14ac:dyDescent="0.25">
      <c r="A2606" s="170"/>
      <c r="B2606" s="170"/>
    </row>
    <row r="2607" spans="1:2" x14ac:dyDescent="0.25">
      <c r="A2607" s="170"/>
      <c r="B2607" s="170"/>
    </row>
    <row r="2608" spans="1:2" x14ac:dyDescent="0.25">
      <c r="A2608" s="170"/>
      <c r="B2608" s="170"/>
    </row>
    <row r="2609" spans="1:2" x14ac:dyDescent="0.25">
      <c r="A2609" s="170"/>
      <c r="B2609" s="170"/>
    </row>
    <row r="2610" spans="1:2" x14ac:dyDescent="0.25">
      <c r="A2610" s="170"/>
      <c r="B2610" s="170"/>
    </row>
    <row r="2611" spans="1:2" x14ac:dyDescent="0.25">
      <c r="A2611" s="170"/>
      <c r="B2611" s="170"/>
    </row>
    <row r="2612" spans="1:2" x14ac:dyDescent="0.25">
      <c r="A2612" s="170"/>
      <c r="B2612" s="170"/>
    </row>
    <row r="2613" spans="1:2" x14ac:dyDescent="0.25">
      <c r="A2613" s="170"/>
      <c r="B2613" s="170"/>
    </row>
    <row r="2614" spans="1:2" x14ac:dyDescent="0.25">
      <c r="A2614" s="170"/>
      <c r="B2614" s="170"/>
    </row>
    <row r="2615" spans="1:2" x14ac:dyDescent="0.25">
      <c r="A2615" s="170"/>
      <c r="B2615" s="170"/>
    </row>
    <row r="2616" spans="1:2" x14ac:dyDescent="0.25">
      <c r="A2616" s="170"/>
      <c r="B2616" s="170"/>
    </row>
    <row r="2617" spans="1:2" x14ac:dyDescent="0.25">
      <c r="A2617" s="170"/>
      <c r="B2617" s="170"/>
    </row>
    <row r="2618" spans="1:2" x14ac:dyDescent="0.25">
      <c r="A2618" s="170"/>
      <c r="B2618" s="170"/>
    </row>
    <row r="2619" spans="1:2" x14ac:dyDescent="0.25">
      <c r="A2619" s="170"/>
      <c r="B2619" s="170"/>
    </row>
    <row r="2620" spans="1:2" x14ac:dyDescent="0.25">
      <c r="A2620" s="170"/>
      <c r="B2620" s="170"/>
    </row>
    <row r="2621" spans="1:2" x14ac:dyDescent="0.25">
      <c r="A2621" s="170"/>
      <c r="B2621" s="170"/>
    </row>
    <row r="2622" spans="1:2" x14ac:dyDescent="0.25">
      <c r="A2622" s="170"/>
      <c r="B2622" s="170"/>
    </row>
    <row r="2623" spans="1:2" x14ac:dyDescent="0.25">
      <c r="A2623" s="170"/>
      <c r="B2623" s="170"/>
    </row>
    <row r="2624" spans="1:2" x14ac:dyDescent="0.25">
      <c r="A2624" s="170"/>
      <c r="B2624" s="170"/>
    </row>
    <row r="2625" spans="1:2" x14ac:dyDescent="0.25">
      <c r="A2625" s="170"/>
      <c r="B2625" s="170"/>
    </row>
    <row r="2626" spans="1:2" x14ac:dyDescent="0.25">
      <c r="A2626" s="170"/>
      <c r="B2626" s="170"/>
    </row>
    <row r="2627" spans="1:2" x14ac:dyDescent="0.25">
      <c r="A2627" s="170"/>
      <c r="B2627" s="170"/>
    </row>
    <row r="2628" spans="1:2" x14ac:dyDescent="0.25">
      <c r="A2628" s="170"/>
      <c r="B2628" s="170"/>
    </row>
    <row r="2629" spans="1:2" x14ac:dyDescent="0.25">
      <c r="A2629" s="170"/>
      <c r="B2629" s="170"/>
    </row>
    <row r="2630" spans="1:2" x14ac:dyDescent="0.25">
      <c r="A2630" s="170"/>
      <c r="B2630" s="170"/>
    </row>
    <row r="2631" spans="1:2" x14ac:dyDescent="0.25">
      <c r="A2631" s="170"/>
      <c r="B2631" s="170"/>
    </row>
    <row r="2632" spans="1:2" x14ac:dyDescent="0.25">
      <c r="A2632" s="170"/>
      <c r="B2632" s="170"/>
    </row>
    <row r="2633" spans="1:2" x14ac:dyDescent="0.25">
      <c r="A2633" s="170"/>
      <c r="B2633" s="170"/>
    </row>
    <row r="2634" spans="1:2" x14ac:dyDescent="0.25">
      <c r="A2634" s="170"/>
      <c r="B2634" s="170"/>
    </row>
    <row r="2635" spans="1:2" x14ac:dyDescent="0.25">
      <c r="A2635" s="170"/>
      <c r="B2635" s="170"/>
    </row>
    <row r="2636" spans="1:2" x14ac:dyDescent="0.25">
      <c r="A2636" s="170"/>
      <c r="B2636" s="170"/>
    </row>
    <row r="2637" spans="1:2" x14ac:dyDescent="0.25">
      <c r="A2637" s="170"/>
      <c r="B2637" s="170"/>
    </row>
    <row r="2638" spans="1:2" x14ac:dyDescent="0.25">
      <c r="A2638" s="170"/>
      <c r="B2638" s="170"/>
    </row>
    <row r="2639" spans="1:2" x14ac:dyDescent="0.25">
      <c r="A2639" s="170"/>
      <c r="B2639" s="170"/>
    </row>
    <row r="2640" spans="1:2" x14ac:dyDescent="0.25">
      <c r="A2640" s="170"/>
      <c r="B2640" s="170"/>
    </row>
    <row r="2641" spans="1:2" x14ac:dyDescent="0.25">
      <c r="A2641" s="170"/>
      <c r="B2641" s="170"/>
    </row>
    <row r="2642" spans="1:2" x14ac:dyDescent="0.25">
      <c r="A2642" s="170"/>
      <c r="B2642" s="170"/>
    </row>
    <row r="2643" spans="1:2" x14ac:dyDescent="0.25">
      <c r="A2643" s="170"/>
      <c r="B2643" s="170"/>
    </row>
    <row r="2644" spans="1:2" x14ac:dyDescent="0.25">
      <c r="A2644" s="170"/>
      <c r="B2644" s="170"/>
    </row>
    <row r="2645" spans="1:2" x14ac:dyDescent="0.25">
      <c r="A2645" s="170"/>
      <c r="B2645" s="170"/>
    </row>
    <row r="2646" spans="1:2" x14ac:dyDescent="0.25">
      <c r="A2646" s="170"/>
      <c r="B2646" s="170"/>
    </row>
    <row r="2647" spans="1:2" x14ac:dyDescent="0.25">
      <c r="A2647" s="170"/>
      <c r="B2647" s="170"/>
    </row>
    <row r="2648" spans="1:2" x14ac:dyDescent="0.25">
      <c r="A2648" s="170"/>
      <c r="B2648" s="170"/>
    </row>
    <row r="2649" spans="1:2" x14ac:dyDescent="0.25">
      <c r="A2649" s="170"/>
      <c r="B2649" s="170"/>
    </row>
    <row r="2650" spans="1:2" x14ac:dyDescent="0.25">
      <c r="A2650" s="170"/>
      <c r="B2650" s="170"/>
    </row>
    <row r="2651" spans="1:2" x14ac:dyDescent="0.25">
      <c r="A2651" s="170"/>
      <c r="B2651" s="170"/>
    </row>
    <row r="2652" spans="1:2" x14ac:dyDescent="0.25">
      <c r="A2652" s="170"/>
      <c r="B2652" s="170"/>
    </row>
    <row r="2653" spans="1:2" x14ac:dyDescent="0.25">
      <c r="A2653" s="170"/>
      <c r="B2653" s="170"/>
    </row>
    <row r="2654" spans="1:2" x14ac:dyDescent="0.25">
      <c r="A2654" s="170"/>
      <c r="B2654" s="170"/>
    </row>
    <row r="2655" spans="1:2" x14ac:dyDescent="0.25">
      <c r="A2655" s="170"/>
      <c r="B2655" s="170"/>
    </row>
    <row r="2656" spans="1:2" x14ac:dyDescent="0.25">
      <c r="A2656" s="170"/>
      <c r="B2656" s="170"/>
    </row>
    <row r="2657" spans="1:2" x14ac:dyDescent="0.25">
      <c r="A2657" s="170"/>
      <c r="B2657" s="170"/>
    </row>
    <row r="2658" spans="1:2" x14ac:dyDescent="0.25">
      <c r="A2658" s="170"/>
      <c r="B2658" s="170"/>
    </row>
    <row r="2659" spans="1:2" x14ac:dyDescent="0.25">
      <c r="A2659" s="170"/>
      <c r="B2659" s="170"/>
    </row>
    <row r="2660" spans="1:2" x14ac:dyDescent="0.25">
      <c r="A2660" s="170"/>
      <c r="B2660" s="170"/>
    </row>
    <row r="2661" spans="1:2" x14ac:dyDescent="0.25">
      <c r="A2661" s="170"/>
      <c r="B2661" s="170"/>
    </row>
    <row r="2662" spans="1:2" x14ac:dyDescent="0.25">
      <c r="A2662" s="170"/>
      <c r="B2662" s="170"/>
    </row>
    <row r="2663" spans="1:2" x14ac:dyDescent="0.25">
      <c r="A2663" s="170"/>
      <c r="B2663" s="170"/>
    </row>
    <row r="2664" spans="1:2" x14ac:dyDescent="0.25">
      <c r="A2664" s="170"/>
      <c r="B2664" s="170"/>
    </row>
    <row r="2665" spans="1:2" x14ac:dyDescent="0.25">
      <c r="A2665" s="170"/>
      <c r="B2665" s="170"/>
    </row>
    <row r="2666" spans="1:2" x14ac:dyDescent="0.25">
      <c r="A2666" s="170"/>
      <c r="B2666" s="170"/>
    </row>
    <row r="2667" spans="1:2" x14ac:dyDescent="0.25">
      <c r="A2667" s="170"/>
      <c r="B2667" s="170"/>
    </row>
    <row r="2668" spans="1:2" x14ac:dyDescent="0.25">
      <c r="A2668" s="170"/>
      <c r="B2668" s="170"/>
    </row>
    <row r="2669" spans="1:2" x14ac:dyDescent="0.25">
      <c r="A2669" s="170"/>
      <c r="B2669" s="170"/>
    </row>
    <row r="2670" spans="1:2" x14ac:dyDescent="0.25">
      <c r="A2670" s="170"/>
      <c r="B2670" s="170"/>
    </row>
    <row r="2671" spans="1:2" x14ac:dyDescent="0.25">
      <c r="A2671" s="170"/>
      <c r="B2671" s="170"/>
    </row>
    <row r="2672" spans="1:2" x14ac:dyDescent="0.25">
      <c r="A2672" s="170"/>
      <c r="B2672" s="170"/>
    </row>
    <row r="2673" spans="1:2" x14ac:dyDescent="0.25">
      <c r="A2673" s="170"/>
      <c r="B2673" s="170"/>
    </row>
    <row r="2674" spans="1:2" x14ac:dyDescent="0.25">
      <c r="A2674" s="170"/>
      <c r="B2674" s="170"/>
    </row>
    <row r="2675" spans="1:2" x14ac:dyDescent="0.25">
      <c r="A2675" s="170"/>
      <c r="B2675" s="170"/>
    </row>
    <row r="2676" spans="1:2" x14ac:dyDescent="0.25">
      <c r="A2676" s="170"/>
      <c r="B2676" s="170"/>
    </row>
    <row r="2677" spans="1:2" x14ac:dyDescent="0.25">
      <c r="A2677" s="170"/>
      <c r="B2677" s="170"/>
    </row>
    <row r="2678" spans="1:2" x14ac:dyDescent="0.25">
      <c r="A2678" s="170"/>
      <c r="B2678" s="170"/>
    </row>
    <row r="2679" spans="1:2" x14ac:dyDescent="0.25">
      <c r="A2679" s="170"/>
      <c r="B2679" s="170"/>
    </row>
    <row r="2680" spans="1:2" x14ac:dyDescent="0.25">
      <c r="A2680" s="170"/>
      <c r="B2680" s="170"/>
    </row>
    <row r="2681" spans="1:2" x14ac:dyDescent="0.25">
      <c r="A2681" s="170"/>
      <c r="B2681" s="170"/>
    </row>
    <row r="2682" spans="1:2" x14ac:dyDescent="0.25">
      <c r="A2682" s="170"/>
      <c r="B2682" s="170"/>
    </row>
    <row r="2683" spans="1:2" x14ac:dyDescent="0.25">
      <c r="A2683" s="170"/>
      <c r="B2683" s="170"/>
    </row>
    <row r="2684" spans="1:2" x14ac:dyDescent="0.25">
      <c r="A2684" s="170"/>
      <c r="B2684" s="170"/>
    </row>
    <row r="2685" spans="1:2" x14ac:dyDescent="0.25">
      <c r="A2685" s="170"/>
      <c r="B2685" s="170"/>
    </row>
    <row r="2686" spans="1:2" x14ac:dyDescent="0.25">
      <c r="A2686" s="170"/>
      <c r="B2686" s="170"/>
    </row>
    <row r="2687" spans="1:2" x14ac:dyDescent="0.25">
      <c r="A2687" s="170"/>
      <c r="B2687" s="170"/>
    </row>
    <row r="2688" spans="1:2" x14ac:dyDescent="0.25">
      <c r="A2688" s="170"/>
      <c r="B2688" s="170"/>
    </row>
    <row r="2689" spans="1:2" x14ac:dyDescent="0.25">
      <c r="A2689" s="170"/>
      <c r="B2689" s="170"/>
    </row>
    <row r="2690" spans="1:2" x14ac:dyDescent="0.25">
      <c r="A2690" s="170"/>
      <c r="B2690" s="170"/>
    </row>
    <row r="2691" spans="1:2" x14ac:dyDescent="0.25">
      <c r="A2691" s="170"/>
      <c r="B2691" s="170"/>
    </row>
    <row r="2692" spans="1:2" x14ac:dyDescent="0.25">
      <c r="A2692" s="170"/>
      <c r="B2692" s="170"/>
    </row>
    <row r="2693" spans="1:2" x14ac:dyDescent="0.25">
      <c r="A2693" s="170"/>
      <c r="B2693" s="170"/>
    </row>
    <row r="2694" spans="1:2" x14ac:dyDescent="0.25">
      <c r="A2694" s="170"/>
      <c r="B2694" s="170"/>
    </row>
    <row r="2695" spans="1:2" x14ac:dyDescent="0.25">
      <c r="A2695" s="170"/>
      <c r="B2695" s="170"/>
    </row>
    <row r="2696" spans="1:2" x14ac:dyDescent="0.25">
      <c r="A2696" s="170"/>
      <c r="B2696" s="170"/>
    </row>
    <row r="2697" spans="1:2" x14ac:dyDescent="0.25">
      <c r="A2697" s="170"/>
      <c r="B2697" s="170"/>
    </row>
    <row r="2698" spans="1:2" x14ac:dyDescent="0.25">
      <c r="A2698" s="170"/>
      <c r="B2698" s="170"/>
    </row>
    <row r="2699" spans="1:2" x14ac:dyDescent="0.25">
      <c r="A2699" s="170"/>
      <c r="B2699" s="170"/>
    </row>
    <row r="2700" spans="1:2" x14ac:dyDescent="0.25">
      <c r="A2700" s="170"/>
      <c r="B2700" s="170"/>
    </row>
    <row r="2701" spans="1:2" x14ac:dyDescent="0.25">
      <c r="A2701" s="170"/>
      <c r="B2701" s="170"/>
    </row>
    <row r="2702" spans="1:2" x14ac:dyDescent="0.25">
      <c r="A2702" s="170"/>
      <c r="B2702" s="170"/>
    </row>
    <row r="2703" spans="1:2" x14ac:dyDescent="0.25">
      <c r="A2703" s="170"/>
      <c r="B2703" s="170"/>
    </row>
    <row r="2704" spans="1:2" x14ac:dyDescent="0.25">
      <c r="A2704" s="170"/>
      <c r="B2704" s="170"/>
    </row>
    <row r="2705" spans="1:2" x14ac:dyDescent="0.25">
      <c r="A2705" s="170"/>
      <c r="B2705" s="170"/>
    </row>
    <row r="2706" spans="1:2" x14ac:dyDescent="0.25">
      <c r="A2706" s="170"/>
      <c r="B2706" s="170"/>
    </row>
    <row r="2707" spans="1:2" x14ac:dyDescent="0.25">
      <c r="A2707" s="170"/>
      <c r="B2707" s="170"/>
    </row>
    <row r="2708" spans="1:2" x14ac:dyDescent="0.25">
      <c r="A2708" s="170"/>
      <c r="B2708" s="170"/>
    </row>
    <row r="2709" spans="1:2" x14ac:dyDescent="0.25">
      <c r="A2709" s="170"/>
      <c r="B2709" s="170"/>
    </row>
    <row r="2710" spans="1:2" x14ac:dyDescent="0.25">
      <c r="A2710" s="170"/>
      <c r="B2710" s="170"/>
    </row>
    <row r="2711" spans="1:2" x14ac:dyDescent="0.25">
      <c r="A2711" s="170"/>
      <c r="B2711" s="170"/>
    </row>
    <row r="2712" spans="1:2" x14ac:dyDescent="0.25">
      <c r="A2712" s="170"/>
      <c r="B2712" s="170"/>
    </row>
    <row r="2713" spans="1:2" x14ac:dyDescent="0.25">
      <c r="A2713" s="170"/>
      <c r="B2713" s="170"/>
    </row>
    <row r="2714" spans="1:2" x14ac:dyDescent="0.25">
      <c r="A2714" s="170"/>
      <c r="B2714" s="170"/>
    </row>
    <row r="2715" spans="1:2" x14ac:dyDescent="0.25">
      <c r="A2715" s="170"/>
      <c r="B2715" s="170"/>
    </row>
    <row r="2716" spans="1:2" x14ac:dyDescent="0.25">
      <c r="A2716" s="170"/>
      <c r="B2716" s="170"/>
    </row>
    <row r="2717" spans="1:2" x14ac:dyDescent="0.25">
      <c r="A2717" s="170"/>
      <c r="B2717" s="170"/>
    </row>
    <row r="2718" spans="1:2" x14ac:dyDescent="0.25">
      <c r="A2718" s="170"/>
      <c r="B2718" s="170"/>
    </row>
    <row r="2719" spans="1:2" x14ac:dyDescent="0.25">
      <c r="A2719" s="170"/>
      <c r="B2719" s="170"/>
    </row>
    <row r="2720" spans="1:2" x14ac:dyDescent="0.25">
      <c r="A2720" s="170"/>
      <c r="B2720" s="170"/>
    </row>
    <row r="2721" spans="1:2" x14ac:dyDescent="0.25">
      <c r="A2721" s="170"/>
      <c r="B2721" s="170"/>
    </row>
    <row r="2722" spans="1:2" x14ac:dyDescent="0.25">
      <c r="A2722" s="170"/>
      <c r="B2722" s="170"/>
    </row>
    <row r="2723" spans="1:2" x14ac:dyDescent="0.25">
      <c r="A2723" s="170"/>
      <c r="B2723" s="170"/>
    </row>
    <row r="2724" spans="1:2" x14ac:dyDescent="0.25">
      <c r="A2724" s="170"/>
      <c r="B2724" s="170"/>
    </row>
    <row r="2725" spans="1:2" x14ac:dyDescent="0.25">
      <c r="A2725" s="170"/>
      <c r="B2725" s="170"/>
    </row>
    <row r="2726" spans="1:2" x14ac:dyDescent="0.25">
      <c r="A2726" s="170"/>
      <c r="B2726" s="170"/>
    </row>
    <row r="2727" spans="1:2" x14ac:dyDescent="0.25">
      <c r="A2727" s="170"/>
      <c r="B2727" s="170"/>
    </row>
    <row r="2728" spans="1:2" x14ac:dyDescent="0.25">
      <c r="A2728" s="170"/>
      <c r="B2728" s="170"/>
    </row>
    <row r="2729" spans="1:2" x14ac:dyDescent="0.25">
      <c r="A2729" s="170"/>
      <c r="B2729" s="170"/>
    </row>
    <row r="2730" spans="1:2" x14ac:dyDescent="0.25">
      <c r="A2730" s="170"/>
      <c r="B2730" s="170"/>
    </row>
    <row r="2731" spans="1:2" x14ac:dyDescent="0.25">
      <c r="A2731" s="170"/>
      <c r="B2731" s="170"/>
    </row>
    <row r="2732" spans="1:2" x14ac:dyDescent="0.25">
      <c r="A2732" s="170"/>
      <c r="B2732" s="170"/>
    </row>
    <row r="2733" spans="1:2" x14ac:dyDescent="0.25">
      <c r="A2733" s="170"/>
      <c r="B2733" s="170"/>
    </row>
    <row r="2734" spans="1:2" x14ac:dyDescent="0.25">
      <c r="A2734" s="170"/>
      <c r="B2734" s="170"/>
    </row>
    <row r="2735" spans="1:2" x14ac:dyDescent="0.25">
      <c r="A2735" s="170"/>
      <c r="B2735" s="170"/>
    </row>
    <row r="2736" spans="1:2" x14ac:dyDescent="0.25">
      <c r="A2736" s="170"/>
      <c r="B2736" s="170"/>
    </row>
    <row r="2737" spans="1:2" x14ac:dyDescent="0.25">
      <c r="A2737" s="170"/>
      <c r="B2737" s="170"/>
    </row>
    <row r="2738" spans="1:2" x14ac:dyDescent="0.25">
      <c r="A2738" s="170"/>
      <c r="B2738" s="170"/>
    </row>
    <row r="2739" spans="1:2" x14ac:dyDescent="0.25">
      <c r="A2739" s="170"/>
      <c r="B2739" s="170"/>
    </row>
    <row r="2740" spans="1:2" x14ac:dyDescent="0.25">
      <c r="A2740" s="170"/>
      <c r="B2740" s="170"/>
    </row>
    <row r="2741" spans="1:2" x14ac:dyDescent="0.25">
      <c r="A2741" s="170"/>
      <c r="B2741" s="170"/>
    </row>
    <row r="2742" spans="1:2" x14ac:dyDescent="0.25">
      <c r="A2742" s="170"/>
      <c r="B2742" s="170"/>
    </row>
    <row r="2743" spans="1:2" x14ac:dyDescent="0.25">
      <c r="A2743" s="170"/>
      <c r="B2743" s="170"/>
    </row>
    <row r="2744" spans="1:2" x14ac:dyDescent="0.25">
      <c r="A2744" s="170"/>
      <c r="B2744" s="170"/>
    </row>
    <row r="2745" spans="1:2" x14ac:dyDescent="0.25">
      <c r="A2745" s="170"/>
      <c r="B2745" s="170"/>
    </row>
    <row r="2746" spans="1:2" x14ac:dyDescent="0.25">
      <c r="A2746" s="170"/>
      <c r="B2746" s="170"/>
    </row>
    <row r="2747" spans="1:2" x14ac:dyDescent="0.25">
      <c r="A2747" s="170"/>
      <c r="B2747" s="170"/>
    </row>
    <row r="2748" spans="1:2" x14ac:dyDescent="0.25">
      <c r="A2748" s="170"/>
      <c r="B2748" s="170"/>
    </row>
    <row r="2749" spans="1:2" x14ac:dyDescent="0.25">
      <c r="A2749" s="170"/>
      <c r="B2749" s="170"/>
    </row>
    <row r="2750" spans="1:2" x14ac:dyDescent="0.25">
      <c r="A2750" s="170"/>
      <c r="B2750" s="170"/>
    </row>
    <row r="2751" spans="1:2" x14ac:dyDescent="0.25">
      <c r="A2751" s="170"/>
      <c r="B2751" s="170"/>
    </row>
    <row r="2752" spans="1:2" x14ac:dyDescent="0.25">
      <c r="A2752" s="170"/>
      <c r="B2752" s="170"/>
    </row>
    <row r="2753" spans="1:2" x14ac:dyDescent="0.25">
      <c r="A2753" s="170"/>
      <c r="B2753" s="170"/>
    </row>
    <row r="2754" spans="1:2" x14ac:dyDescent="0.25">
      <c r="A2754" s="170"/>
      <c r="B2754" s="170"/>
    </row>
    <row r="2755" spans="1:2" x14ac:dyDescent="0.25">
      <c r="A2755" s="170"/>
      <c r="B2755" s="170"/>
    </row>
    <row r="2756" spans="1:2" x14ac:dyDescent="0.25">
      <c r="A2756" s="170"/>
      <c r="B2756" s="170"/>
    </row>
    <row r="2757" spans="1:2" x14ac:dyDescent="0.25">
      <c r="A2757" s="170"/>
      <c r="B2757" s="170"/>
    </row>
    <row r="2758" spans="1:2" x14ac:dyDescent="0.25">
      <c r="A2758" s="170"/>
      <c r="B2758" s="170"/>
    </row>
    <row r="2759" spans="1:2" x14ac:dyDescent="0.25">
      <c r="A2759" s="170"/>
      <c r="B2759" s="170"/>
    </row>
    <row r="2760" spans="1:2" x14ac:dyDescent="0.25">
      <c r="A2760" s="170"/>
      <c r="B2760" s="170"/>
    </row>
    <row r="2761" spans="1:2" x14ac:dyDescent="0.25">
      <c r="A2761" s="170"/>
      <c r="B2761" s="170"/>
    </row>
    <row r="2762" spans="1:2" x14ac:dyDescent="0.25">
      <c r="A2762" s="170"/>
      <c r="B2762" s="170"/>
    </row>
    <row r="2763" spans="1:2" x14ac:dyDescent="0.25">
      <c r="A2763" s="170"/>
      <c r="B2763" s="170"/>
    </row>
    <row r="2764" spans="1:2" x14ac:dyDescent="0.25">
      <c r="A2764" s="170"/>
      <c r="B2764" s="170"/>
    </row>
    <row r="2765" spans="1:2" x14ac:dyDescent="0.25">
      <c r="A2765" s="170"/>
      <c r="B2765" s="170"/>
    </row>
    <row r="2766" spans="1:2" x14ac:dyDescent="0.25">
      <c r="A2766" s="170"/>
      <c r="B2766" s="170"/>
    </row>
    <row r="2767" spans="1:2" x14ac:dyDescent="0.25">
      <c r="A2767" s="170"/>
      <c r="B2767" s="170"/>
    </row>
    <row r="2768" spans="1:2" x14ac:dyDescent="0.25">
      <c r="A2768" s="170"/>
      <c r="B2768" s="170"/>
    </row>
    <row r="2769" spans="1:2" x14ac:dyDescent="0.25">
      <c r="A2769" s="170"/>
      <c r="B2769" s="170"/>
    </row>
    <row r="2770" spans="1:2" x14ac:dyDescent="0.25">
      <c r="A2770" s="170"/>
      <c r="B2770" s="170"/>
    </row>
    <row r="2771" spans="1:2" x14ac:dyDescent="0.25">
      <c r="A2771" s="170"/>
      <c r="B2771" s="170"/>
    </row>
    <row r="2772" spans="1:2" x14ac:dyDescent="0.25">
      <c r="A2772" s="170"/>
      <c r="B2772" s="170"/>
    </row>
    <row r="2773" spans="1:2" x14ac:dyDescent="0.25">
      <c r="A2773" s="170"/>
      <c r="B2773" s="170"/>
    </row>
    <row r="2774" spans="1:2" x14ac:dyDescent="0.25">
      <c r="A2774" s="170"/>
      <c r="B2774" s="170"/>
    </row>
    <row r="2775" spans="1:2" x14ac:dyDescent="0.25">
      <c r="A2775" s="170"/>
      <c r="B2775" s="170"/>
    </row>
    <row r="2776" spans="1:2" x14ac:dyDescent="0.25">
      <c r="A2776" s="170"/>
      <c r="B2776" s="170"/>
    </row>
    <row r="2777" spans="1:2" x14ac:dyDescent="0.25">
      <c r="A2777" s="170"/>
      <c r="B2777" s="170"/>
    </row>
    <row r="2778" spans="1:2" x14ac:dyDescent="0.25">
      <c r="A2778" s="170"/>
      <c r="B2778" s="170"/>
    </row>
    <row r="2779" spans="1:2" x14ac:dyDescent="0.25">
      <c r="A2779" s="170"/>
      <c r="B2779" s="170"/>
    </row>
    <row r="2780" spans="1:2" x14ac:dyDescent="0.25">
      <c r="A2780" s="170"/>
      <c r="B2780" s="170"/>
    </row>
    <row r="2781" spans="1:2" x14ac:dyDescent="0.25">
      <c r="A2781" s="170"/>
      <c r="B2781" s="170"/>
    </row>
    <row r="2782" spans="1:2" x14ac:dyDescent="0.25">
      <c r="A2782" s="170"/>
      <c r="B2782" s="170"/>
    </row>
    <row r="2783" spans="1:2" x14ac:dyDescent="0.25">
      <c r="A2783" s="170"/>
      <c r="B2783" s="170"/>
    </row>
    <row r="2784" spans="1:2" x14ac:dyDescent="0.25">
      <c r="A2784" s="170"/>
      <c r="B2784" s="170"/>
    </row>
    <row r="2785" spans="1:2" x14ac:dyDescent="0.25">
      <c r="A2785" s="170"/>
      <c r="B2785" s="170"/>
    </row>
    <row r="2786" spans="1:2" x14ac:dyDescent="0.25">
      <c r="A2786" s="170"/>
      <c r="B2786" s="170"/>
    </row>
    <row r="2787" spans="1:2" x14ac:dyDescent="0.25">
      <c r="A2787" s="170"/>
      <c r="B2787" s="170"/>
    </row>
    <row r="2788" spans="1:2" x14ac:dyDescent="0.25">
      <c r="A2788" s="170"/>
      <c r="B2788" s="170"/>
    </row>
    <row r="2789" spans="1:2" x14ac:dyDescent="0.25">
      <c r="A2789" s="170"/>
      <c r="B2789" s="170"/>
    </row>
    <row r="2790" spans="1:2" x14ac:dyDescent="0.25">
      <c r="A2790" s="170"/>
      <c r="B2790" s="170"/>
    </row>
    <row r="2791" spans="1:2" x14ac:dyDescent="0.25">
      <c r="A2791" s="170"/>
      <c r="B2791" s="170"/>
    </row>
    <row r="2792" spans="1:2" x14ac:dyDescent="0.25">
      <c r="A2792" s="170"/>
      <c r="B2792" s="170"/>
    </row>
    <row r="2793" spans="1:2" x14ac:dyDescent="0.25">
      <c r="A2793" s="170"/>
      <c r="B2793" s="170"/>
    </row>
    <row r="2794" spans="1:2" x14ac:dyDescent="0.25">
      <c r="A2794" s="170"/>
      <c r="B2794" s="170"/>
    </row>
    <row r="2795" spans="1:2" x14ac:dyDescent="0.25">
      <c r="A2795" s="170"/>
      <c r="B2795" s="170"/>
    </row>
    <row r="2796" spans="1:2" x14ac:dyDescent="0.25">
      <c r="A2796" s="170"/>
      <c r="B2796" s="170"/>
    </row>
    <row r="2797" spans="1:2" x14ac:dyDescent="0.25">
      <c r="A2797" s="170"/>
      <c r="B2797" s="170"/>
    </row>
    <row r="2798" spans="1:2" x14ac:dyDescent="0.25">
      <c r="A2798" s="170"/>
      <c r="B2798" s="170"/>
    </row>
    <row r="2799" spans="1:2" x14ac:dyDescent="0.25">
      <c r="A2799" s="170"/>
      <c r="B2799" s="170"/>
    </row>
    <row r="2800" spans="1:2" x14ac:dyDescent="0.25">
      <c r="A2800" s="170"/>
      <c r="B2800" s="170"/>
    </row>
    <row r="2801" spans="1:2" x14ac:dyDescent="0.25">
      <c r="A2801" s="170"/>
      <c r="B2801" s="170"/>
    </row>
    <row r="2802" spans="1:2" x14ac:dyDescent="0.25">
      <c r="A2802" s="170"/>
      <c r="B2802" s="170"/>
    </row>
    <row r="2803" spans="1:2" x14ac:dyDescent="0.25">
      <c r="A2803" s="170"/>
      <c r="B2803" s="170"/>
    </row>
    <row r="2804" spans="1:2" x14ac:dyDescent="0.25">
      <c r="A2804" s="170"/>
      <c r="B2804" s="170"/>
    </row>
    <row r="2805" spans="1:2" x14ac:dyDescent="0.25">
      <c r="A2805" s="170"/>
      <c r="B2805" s="170"/>
    </row>
    <row r="2806" spans="1:2" x14ac:dyDescent="0.25">
      <c r="A2806" s="170"/>
      <c r="B2806" s="170"/>
    </row>
    <row r="2807" spans="1:2" x14ac:dyDescent="0.25">
      <c r="A2807" s="170"/>
      <c r="B2807" s="170"/>
    </row>
    <row r="2808" spans="1:2" x14ac:dyDescent="0.25">
      <c r="A2808" s="170"/>
      <c r="B2808" s="170"/>
    </row>
    <row r="2809" spans="1:2" x14ac:dyDescent="0.25">
      <c r="A2809" s="170"/>
      <c r="B2809" s="170"/>
    </row>
    <row r="2810" spans="1:2" x14ac:dyDescent="0.25">
      <c r="A2810" s="170"/>
      <c r="B2810" s="170"/>
    </row>
    <row r="2811" spans="1:2" x14ac:dyDescent="0.25">
      <c r="A2811" s="170"/>
      <c r="B2811" s="170"/>
    </row>
    <row r="2812" spans="1:2" x14ac:dyDescent="0.25">
      <c r="A2812" s="170"/>
      <c r="B2812" s="170"/>
    </row>
    <row r="2813" spans="1:2" x14ac:dyDescent="0.25">
      <c r="A2813" s="170"/>
      <c r="B2813" s="170"/>
    </row>
    <row r="2814" spans="1:2" x14ac:dyDescent="0.25">
      <c r="A2814" s="170"/>
      <c r="B2814" s="170"/>
    </row>
    <row r="2815" spans="1:2" x14ac:dyDescent="0.25">
      <c r="A2815" s="170"/>
      <c r="B2815" s="170"/>
    </row>
    <row r="2816" spans="1:2" x14ac:dyDescent="0.25">
      <c r="A2816" s="170"/>
      <c r="B2816" s="170"/>
    </row>
    <row r="2817" spans="1:2" x14ac:dyDescent="0.25">
      <c r="A2817" s="170"/>
      <c r="B2817" s="170"/>
    </row>
    <row r="2818" spans="1:2" x14ac:dyDescent="0.25">
      <c r="A2818" s="170"/>
      <c r="B2818" s="170"/>
    </row>
    <row r="2819" spans="1:2" x14ac:dyDescent="0.25">
      <c r="A2819" s="170"/>
      <c r="B2819" s="170"/>
    </row>
    <row r="2820" spans="1:2" x14ac:dyDescent="0.25">
      <c r="A2820" s="170"/>
      <c r="B2820" s="170"/>
    </row>
    <row r="2821" spans="1:2" x14ac:dyDescent="0.25">
      <c r="A2821" s="170"/>
      <c r="B2821" s="170"/>
    </row>
    <row r="2822" spans="1:2" x14ac:dyDescent="0.25">
      <c r="A2822" s="170"/>
      <c r="B2822" s="170"/>
    </row>
    <row r="2823" spans="1:2" x14ac:dyDescent="0.25">
      <c r="A2823" s="170"/>
      <c r="B2823" s="170"/>
    </row>
    <row r="2824" spans="1:2" x14ac:dyDescent="0.25">
      <c r="A2824" s="170"/>
      <c r="B2824" s="170"/>
    </row>
    <row r="2825" spans="1:2" x14ac:dyDescent="0.25">
      <c r="A2825" s="170"/>
      <c r="B2825" s="170"/>
    </row>
    <row r="2826" spans="1:2" x14ac:dyDescent="0.25">
      <c r="A2826" s="170"/>
      <c r="B2826" s="170"/>
    </row>
    <row r="2827" spans="1:2" x14ac:dyDescent="0.25">
      <c r="A2827" s="170"/>
      <c r="B2827" s="170"/>
    </row>
    <row r="2828" spans="1:2" x14ac:dyDescent="0.25">
      <c r="A2828" s="170"/>
      <c r="B2828" s="170"/>
    </row>
    <row r="2829" spans="1:2" x14ac:dyDescent="0.25">
      <c r="A2829" s="170"/>
      <c r="B2829" s="170"/>
    </row>
    <row r="2830" spans="1:2" x14ac:dyDescent="0.25">
      <c r="A2830" s="170"/>
      <c r="B2830" s="170"/>
    </row>
    <row r="2831" spans="1:2" x14ac:dyDescent="0.25">
      <c r="A2831" s="170"/>
      <c r="B2831" s="170"/>
    </row>
    <row r="2832" spans="1:2" x14ac:dyDescent="0.25">
      <c r="A2832" s="170"/>
      <c r="B2832" s="170"/>
    </row>
    <row r="2833" spans="1:2" x14ac:dyDescent="0.25">
      <c r="A2833" s="170"/>
      <c r="B2833" s="170"/>
    </row>
    <row r="2834" spans="1:2" x14ac:dyDescent="0.25">
      <c r="A2834" s="170"/>
      <c r="B2834" s="170"/>
    </row>
    <row r="2835" spans="1:2" x14ac:dyDescent="0.25">
      <c r="A2835" s="170"/>
      <c r="B2835" s="170"/>
    </row>
    <row r="2836" spans="1:2" x14ac:dyDescent="0.25">
      <c r="A2836" s="170"/>
      <c r="B2836" s="170"/>
    </row>
    <row r="2837" spans="1:2" x14ac:dyDescent="0.25">
      <c r="A2837" s="170"/>
      <c r="B2837" s="170"/>
    </row>
    <row r="2838" spans="1:2" x14ac:dyDescent="0.25">
      <c r="A2838" s="170"/>
      <c r="B2838" s="170"/>
    </row>
    <row r="2839" spans="1:2" x14ac:dyDescent="0.25">
      <c r="A2839" s="170"/>
      <c r="B2839" s="170"/>
    </row>
    <row r="2840" spans="1:2" x14ac:dyDescent="0.25">
      <c r="A2840" s="170"/>
      <c r="B2840" s="170"/>
    </row>
    <row r="2841" spans="1:2" x14ac:dyDescent="0.25">
      <c r="A2841" s="170"/>
      <c r="B2841" s="170"/>
    </row>
    <row r="2842" spans="1:2" x14ac:dyDescent="0.25">
      <c r="A2842" s="170"/>
      <c r="B2842" s="170"/>
    </row>
    <row r="2843" spans="1:2" x14ac:dyDescent="0.25">
      <c r="A2843" s="170"/>
      <c r="B2843" s="170"/>
    </row>
    <row r="2844" spans="1:2" x14ac:dyDescent="0.25">
      <c r="A2844" s="170"/>
      <c r="B2844" s="170"/>
    </row>
    <row r="2845" spans="1:2" x14ac:dyDescent="0.25">
      <c r="A2845" s="170"/>
      <c r="B2845" s="170"/>
    </row>
    <row r="2846" spans="1:2" x14ac:dyDescent="0.25">
      <c r="A2846" s="170"/>
      <c r="B2846" s="170"/>
    </row>
    <row r="2847" spans="1:2" x14ac:dyDescent="0.25">
      <c r="A2847" s="170"/>
      <c r="B2847" s="170"/>
    </row>
    <row r="2848" spans="1:2" x14ac:dyDescent="0.25">
      <c r="A2848" s="170"/>
      <c r="B2848" s="170"/>
    </row>
    <row r="2849" spans="1:2" x14ac:dyDescent="0.25">
      <c r="A2849" s="170"/>
      <c r="B2849" s="170"/>
    </row>
    <row r="2850" spans="1:2" x14ac:dyDescent="0.25">
      <c r="A2850" s="170"/>
      <c r="B2850" s="170"/>
    </row>
    <row r="2851" spans="1:2" x14ac:dyDescent="0.25">
      <c r="A2851" s="170"/>
      <c r="B2851" s="170"/>
    </row>
    <row r="2852" spans="1:2" x14ac:dyDescent="0.25">
      <c r="A2852" s="170"/>
      <c r="B2852" s="170"/>
    </row>
    <row r="2853" spans="1:2" x14ac:dyDescent="0.25">
      <c r="A2853" s="170"/>
      <c r="B2853" s="170"/>
    </row>
    <row r="2854" spans="1:2" x14ac:dyDescent="0.25">
      <c r="A2854" s="170"/>
      <c r="B2854" s="170"/>
    </row>
    <row r="2855" spans="1:2" x14ac:dyDescent="0.25">
      <c r="A2855" s="170"/>
      <c r="B2855" s="170"/>
    </row>
    <row r="2856" spans="1:2" x14ac:dyDescent="0.25">
      <c r="A2856" s="170"/>
      <c r="B2856" s="170"/>
    </row>
    <row r="2857" spans="1:2" x14ac:dyDescent="0.25">
      <c r="A2857" s="170"/>
      <c r="B2857" s="170"/>
    </row>
    <row r="2858" spans="1:2" x14ac:dyDescent="0.25">
      <c r="A2858" s="170"/>
      <c r="B2858" s="170"/>
    </row>
    <row r="2859" spans="1:2" x14ac:dyDescent="0.25">
      <c r="A2859" s="170"/>
      <c r="B2859" s="170"/>
    </row>
    <row r="2860" spans="1:2" x14ac:dyDescent="0.25">
      <c r="A2860" s="170"/>
      <c r="B2860" s="170"/>
    </row>
    <row r="2861" spans="1:2" x14ac:dyDescent="0.25">
      <c r="A2861" s="170"/>
      <c r="B2861" s="170"/>
    </row>
    <row r="2862" spans="1:2" x14ac:dyDescent="0.25">
      <c r="A2862" s="170"/>
      <c r="B2862" s="170"/>
    </row>
    <row r="2863" spans="1:2" x14ac:dyDescent="0.25">
      <c r="A2863" s="170"/>
      <c r="B2863" s="170"/>
    </row>
    <row r="2864" spans="1:2" x14ac:dyDescent="0.25">
      <c r="A2864" s="170"/>
      <c r="B2864" s="170"/>
    </row>
    <row r="2865" spans="1:2" x14ac:dyDescent="0.25">
      <c r="A2865" s="170"/>
      <c r="B2865" s="170"/>
    </row>
    <row r="2866" spans="1:2" x14ac:dyDescent="0.25">
      <c r="A2866" s="170"/>
      <c r="B2866" s="170"/>
    </row>
    <row r="2867" spans="1:2" x14ac:dyDescent="0.25">
      <c r="A2867" s="170"/>
      <c r="B2867" s="170"/>
    </row>
    <row r="2868" spans="1:2" x14ac:dyDescent="0.25">
      <c r="A2868" s="170"/>
      <c r="B2868" s="170"/>
    </row>
    <row r="2869" spans="1:2" x14ac:dyDescent="0.25">
      <c r="A2869" s="170"/>
      <c r="B2869" s="170"/>
    </row>
    <row r="2870" spans="1:2" x14ac:dyDescent="0.25">
      <c r="A2870" s="170"/>
      <c r="B2870" s="170"/>
    </row>
    <row r="2871" spans="1:2" x14ac:dyDescent="0.25">
      <c r="A2871" s="170"/>
      <c r="B2871" s="170"/>
    </row>
    <row r="2872" spans="1:2" x14ac:dyDescent="0.25">
      <c r="A2872" s="170"/>
      <c r="B2872" s="170"/>
    </row>
    <row r="2873" spans="1:2" x14ac:dyDescent="0.25">
      <c r="A2873" s="170"/>
      <c r="B2873" s="170"/>
    </row>
    <row r="2874" spans="1:2" x14ac:dyDescent="0.25">
      <c r="A2874" s="170"/>
      <c r="B2874" s="170"/>
    </row>
    <row r="2875" spans="1:2" x14ac:dyDescent="0.25">
      <c r="A2875" s="170"/>
      <c r="B2875" s="170"/>
    </row>
    <row r="2876" spans="1:2" x14ac:dyDescent="0.25">
      <c r="A2876" s="170"/>
      <c r="B2876" s="170"/>
    </row>
    <row r="2877" spans="1:2" x14ac:dyDescent="0.25">
      <c r="A2877" s="170"/>
      <c r="B2877" s="170"/>
    </row>
    <row r="2878" spans="1:2" x14ac:dyDescent="0.25">
      <c r="A2878" s="170"/>
      <c r="B2878" s="170"/>
    </row>
    <row r="2879" spans="1:2" x14ac:dyDescent="0.25">
      <c r="A2879" s="170"/>
      <c r="B2879" s="170"/>
    </row>
    <row r="2880" spans="1:2" x14ac:dyDescent="0.25">
      <c r="A2880" s="170"/>
      <c r="B2880" s="170"/>
    </row>
    <row r="2881" spans="1:2" x14ac:dyDescent="0.25">
      <c r="A2881" s="170"/>
      <c r="B2881" s="170"/>
    </row>
    <row r="2882" spans="1:2" x14ac:dyDescent="0.25">
      <c r="A2882" s="170"/>
      <c r="B2882" s="170"/>
    </row>
    <row r="2883" spans="1:2" x14ac:dyDescent="0.25">
      <c r="A2883" s="170"/>
      <c r="B2883" s="170"/>
    </row>
    <row r="2884" spans="1:2" x14ac:dyDescent="0.25">
      <c r="A2884" s="170"/>
      <c r="B2884" s="170"/>
    </row>
    <row r="2885" spans="1:2" x14ac:dyDescent="0.25">
      <c r="A2885" s="170"/>
      <c r="B2885" s="170"/>
    </row>
    <row r="2886" spans="1:2" x14ac:dyDescent="0.25">
      <c r="A2886" s="170"/>
      <c r="B2886" s="170"/>
    </row>
    <row r="2887" spans="1:2" x14ac:dyDescent="0.25">
      <c r="A2887" s="170"/>
      <c r="B2887" s="170"/>
    </row>
    <row r="2888" spans="1:2" x14ac:dyDescent="0.25">
      <c r="A2888" s="170"/>
      <c r="B2888" s="170"/>
    </row>
    <row r="2889" spans="1:2" x14ac:dyDescent="0.25">
      <c r="A2889" s="170"/>
      <c r="B2889" s="170"/>
    </row>
    <row r="2890" spans="1:2" x14ac:dyDescent="0.25">
      <c r="A2890" s="170"/>
      <c r="B2890" s="170"/>
    </row>
    <row r="2891" spans="1:2" x14ac:dyDescent="0.25">
      <c r="A2891" s="170"/>
      <c r="B2891" s="170"/>
    </row>
    <row r="2892" spans="1:2" x14ac:dyDescent="0.25">
      <c r="A2892" s="170"/>
      <c r="B2892" s="170"/>
    </row>
    <row r="2893" spans="1:2" x14ac:dyDescent="0.25">
      <c r="A2893" s="170"/>
      <c r="B2893" s="170"/>
    </row>
    <row r="2894" spans="1:2" x14ac:dyDescent="0.25">
      <c r="A2894" s="170"/>
      <c r="B2894" s="170"/>
    </row>
    <row r="2895" spans="1:2" x14ac:dyDescent="0.25">
      <c r="A2895" s="170"/>
      <c r="B2895" s="170"/>
    </row>
    <row r="2896" spans="1:2" x14ac:dyDescent="0.25">
      <c r="A2896" s="170"/>
      <c r="B2896" s="170"/>
    </row>
    <row r="2897" spans="1:2" x14ac:dyDescent="0.25">
      <c r="A2897" s="170"/>
      <c r="B2897" s="170"/>
    </row>
    <row r="2898" spans="1:2" x14ac:dyDescent="0.25">
      <c r="A2898" s="170"/>
      <c r="B2898" s="170"/>
    </row>
    <row r="2899" spans="1:2" x14ac:dyDescent="0.25">
      <c r="A2899" s="170"/>
      <c r="B2899" s="170"/>
    </row>
    <row r="2900" spans="1:2" x14ac:dyDescent="0.25">
      <c r="A2900" s="170"/>
      <c r="B2900" s="170"/>
    </row>
    <row r="2901" spans="1:2" x14ac:dyDescent="0.25">
      <c r="A2901" s="170"/>
      <c r="B2901" s="170"/>
    </row>
    <row r="2902" spans="1:2" x14ac:dyDescent="0.25">
      <c r="A2902" s="170"/>
      <c r="B2902" s="170"/>
    </row>
    <row r="2903" spans="1:2" x14ac:dyDescent="0.25">
      <c r="A2903" s="170"/>
      <c r="B2903" s="170"/>
    </row>
    <row r="2904" spans="1:2" x14ac:dyDescent="0.25">
      <c r="A2904" s="170"/>
      <c r="B2904" s="170"/>
    </row>
    <row r="2905" spans="1:2" x14ac:dyDescent="0.25">
      <c r="A2905" s="170"/>
      <c r="B2905" s="170"/>
    </row>
    <row r="2906" spans="1:2" x14ac:dyDescent="0.25">
      <c r="A2906" s="170"/>
      <c r="B2906" s="170"/>
    </row>
    <row r="2907" spans="1:2" x14ac:dyDescent="0.25">
      <c r="A2907" s="170"/>
      <c r="B2907" s="170"/>
    </row>
    <row r="2908" spans="1:2" x14ac:dyDescent="0.25">
      <c r="A2908" s="170"/>
      <c r="B2908" s="170"/>
    </row>
    <row r="2909" spans="1:2" x14ac:dyDescent="0.25">
      <c r="A2909" s="170"/>
      <c r="B2909" s="170"/>
    </row>
    <row r="2910" spans="1:2" x14ac:dyDescent="0.25">
      <c r="A2910" s="170"/>
      <c r="B2910" s="170"/>
    </row>
    <row r="2911" spans="1:2" x14ac:dyDescent="0.25">
      <c r="A2911" s="170"/>
      <c r="B2911" s="170"/>
    </row>
    <row r="2912" spans="1:2" x14ac:dyDescent="0.25">
      <c r="A2912" s="170"/>
      <c r="B2912" s="170"/>
    </row>
    <row r="2913" spans="1:2" x14ac:dyDescent="0.25">
      <c r="A2913" s="170"/>
      <c r="B2913" s="170"/>
    </row>
    <row r="2914" spans="1:2" x14ac:dyDescent="0.25">
      <c r="A2914" s="170"/>
      <c r="B2914" s="170"/>
    </row>
    <row r="2915" spans="1:2" x14ac:dyDescent="0.25">
      <c r="A2915" s="170"/>
      <c r="B2915" s="170"/>
    </row>
    <row r="2916" spans="1:2" x14ac:dyDescent="0.25">
      <c r="A2916" s="170"/>
      <c r="B2916" s="170"/>
    </row>
    <row r="2917" spans="1:2" x14ac:dyDescent="0.25">
      <c r="A2917" s="170"/>
      <c r="B2917" s="170"/>
    </row>
    <row r="2918" spans="1:2" x14ac:dyDescent="0.25">
      <c r="A2918" s="170"/>
      <c r="B2918" s="170"/>
    </row>
    <row r="2919" spans="1:2" x14ac:dyDescent="0.25">
      <c r="A2919" s="170"/>
      <c r="B2919" s="170"/>
    </row>
    <row r="2920" spans="1:2" x14ac:dyDescent="0.25">
      <c r="A2920" s="170"/>
      <c r="B2920" s="170"/>
    </row>
    <row r="2921" spans="1:2" x14ac:dyDescent="0.25">
      <c r="A2921" s="170"/>
      <c r="B2921" s="170"/>
    </row>
    <row r="2922" spans="1:2" x14ac:dyDescent="0.25">
      <c r="A2922" s="170"/>
      <c r="B2922" s="170"/>
    </row>
    <row r="2923" spans="1:2" x14ac:dyDescent="0.25">
      <c r="A2923" s="170"/>
      <c r="B2923" s="170"/>
    </row>
    <row r="2924" spans="1:2" x14ac:dyDescent="0.25">
      <c r="A2924" s="170"/>
      <c r="B2924" s="170"/>
    </row>
    <row r="2925" spans="1:2" x14ac:dyDescent="0.25">
      <c r="A2925" s="170"/>
      <c r="B2925" s="170"/>
    </row>
    <row r="2926" spans="1:2" x14ac:dyDescent="0.25">
      <c r="A2926" s="170"/>
      <c r="B2926" s="170"/>
    </row>
    <row r="2927" spans="1:2" x14ac:dyDescent="0.25">
      <c r="A2927" s="170"/>
      <c r="B2927" s="170"/>
    </row>
    <row r="2928" spans="1:2" x14ac:dyDescent="0.25">
      <c r="A2928" s="170"/>
      <c r="B2928" s="170"/>
    </row>
    <row r="2929" spans="1:2" x14ac:dyDescent="0.25">
      <c r="A2929" s="170"/>
      <c r="B2929" s="170"/>
    </row>
    <row r="2930" spans="1:2" x14ac:dyDescent="0.25">
      <c r="A2930" s="170"/>
      <c r="B2930" s="170"/>
    </row>
    <row r="2931" spans="1:2" x14ac:dyDescent="0.25">
      <c r="A2931" s="170"/>
      <c r="B2931" s="170"/>
    </row>
    <row r="2932" spans="1:2" x14ac:dyDescent="0.25">
      <c r="A2932" s="170"/>
      <c r="B2932" s="170"/>
    </row>
    <row r="2933" spans="1:2" x14ac:dyDescent="0.25">
      <c r="A2933" s="170"/>
      <c r="B2933" s="170"/>
    </row>
    <row r="2934" spans="1:2" x14ac:dyDescent="0.25">
      <c r="A2934" s="170"/>
      <c r="B2934" s="170"/>
    </row>
    <row r="2935" spans="1:2" x14ac:dyDescent="0.25">
      <c r="A2935" s="170"/>
      <c r="B2935" s="170"/>
    </row>
    <row r="2936" spans="1:2" x14ac:dyDescent="0.25">
      <c r="A2936" s="170"/>
      <c r="B2936" s="170"/>
    </row>
    <row r="2937" spans="1:2" x14ac:dyDescent="0.25">
      <c r="A2937" s="170"/>
      <c r="B2937" s="170"/>
    </row>
    <row r="2938" spans="1:2" x14ac:dyDescent="0.25">
      <c r="A2938" s="170"/>
      <c r="B2938" s="170"/>
    </row>
    <row r="2939" spans="1:2" x14ac:dyDescent="0.25">
      <c r="A2939" s="170"/>
      <c r="B2939" s="170"/>
    </row>
    <row r="2940" spans="1:2" x14ac:dyDescent="0.25">
      <c r="A2940" s="170"/>
      <c r="B2940" s="170"/>
    </row>
    <row r="2941" spans="1:2" x14ac:dyDescent="0.25">
      <c r="A2941" s="170"/>
      <c r="B2941" s="170"/>
    </row>
    <row r="2942" spans="1:2" x14ac:dyDescent="0.25">
      <c r="A2942" s="170"/>
      <c r="B2942" s="170"/>
    </row>
    <row r="2943" spans="1:2" x14ac:dyDescent="0.25">
      <c r="A2943" s="170"/>
      <c r="B2943" s="170"/>
    </row>
    <row r="2944" spans="1:2" x14ac:dyDescent="0.25">
      <c r="A2944" s="170"/>
      <c r="B2944" s="170"/>
    </row>
    <row r="2945" spans="1:2" x14ac:dyDescent="0.25">
      <c r="A2945" s="170"/>
      <c r="B2945" s="170"/>
    </row>
    <row r="2946" spans="1:2" x14ac:dyDescent="0.25">
      <c r="A2946" s="170"/>
      <c r="B2946" s="170"/>
    </row>
    <row r="2947" spans="1:2" x14ac:dyDescent="0.25">
      <c r="A2947" s="170"/>
      <c r="B2947" s="170"/>
    </row>
    <row r="2948" spans="1:2" x14ac:dyDescent="0.25">
      <c r="A2948" s="170"/>
      <c r="B2948" s="170"/>
    </row>
    <row r="2949" spans="1:2" x14ac:dyDescent="0.25">
      <c r="A2949" s="170"/>
      <c r="B2949" s="170"/>
    </row>
    <row r="2950" spans="1:2" x14ac:dyDescent="0.25">
      <c r="A2950" s="170"/>
      <c r="B2950" s="170"/>
    </row>
    <row r="2951" spans="1:2" x14ac:dyDescent="0.25">
      <c r="A2951" s="170"/>
      <c r="B2951" s="170"/>
    </row>
    <row r="2952" spans="1:2" x14ac:dyDescent="0.25">
      <c r="A2952" s="170"/>
      <c r="B2952" s="170"/>
    </row>
    <row r="2953" spans="1:2" x14ac:dyDescent="0.25">
      <c r="A2953" s="170"/>
      <c r="B2953" s="170"/>
    </row>
    <row r="2954" spans="1:2" x14ac:dyDescent="0.25">
      <c r="A2954" s="170"/>
      <c r="B2954" s="170"/>
    </row>
    <row r="2955" spans="1:2" x14ac:dyDescent="0.25">
      <c r="A2955" s="170"/>
      <c r="B2955" s="170"/>
    </row>
    <row r="2956" spans="1:2" x14ac:dyDescent="0.25">
      <c r="A2956" s="170"/>
      <c r="B2956" s="170"/>
    </row>
    <row r="2957" spans="1:2" x14ac:dyDescent="0.25">
      <c r="A2957" s="170"/>
      <c r="B2957" s="170"/>
    </row>
    <row r="2958" spans="1:2" x14ac:dyDescent="0.25">
      <c r="A2958" s="170"/>
      <c r="B2958" s="170"/>
    </row>
    <row r="2959" spans="1:2" x14ac:dyDescent="0.25">
      <c r="A2959" s="170"/>
      <c r="B2959" s="170"/>
    </row>
    <row r="2960" spans="1:2" x14ac:dyDescent="0.25">
      <c r="A2960" s="170"/>
      <c r="B2960" s="170"/>
    </row>
    <row r="2961" spans="1:2" x14ac:dyDescent="0.25">
      <c r="A2961" s="170"/>
      <c r="B2961" s="170"/>
    </row>
    <row r="2962" spans="1:2" x14ac:dyDescent="0.25">
      <c r="A2962" s="170"/>
      <c r="B2962" s="170"/>
    </row>
    <row r="2963" spans="1:2" x14ac:dyDescent="0.25">
      <c r="A2963" s="170"/>
      <c r="B2963" s="170"/>
    </row>
    <row r="2964" spans="1:2" x14ac:dyDescent="0.25">
      <c r="A2964" s="170"/>
      <c r="B2964" s="170"/>
    </row>
    <row r="2965" spans="1:2" x14ac:dyDescent="0.25">
      <c r="A2965" s="170"/>
      <c r="B2965" s="170"/>
    </row>
    <row r="2966" spans="1:2" x14ac:dyDescent="0.25">
      <c r="A2966" s="170"/>
      <c r="B2966" s="170"/>
    </row>
    <row r="2967" spans="1:2" x14ac:dyDescent="0.25">
      <c r="A2967" s="170"/>
      <c r="B2967" s="170"/>
    </row>
    <row r="2968" spans="1:2" x14ac:dyDescent="0.25">
      <c r="A2968" s="170"/>
      <c r="B2968" s="170"/>
    </row>
    <row r="2969" spans="1:2" x14ac:dyDescent="0.25">
      <c r="A2969" s="170"/>
      <c r="B2969" s="170"/>
    </row>
    <row r="2970" spans="1:2" x14ac:dyDescent="0.25">
      <c r="A2970" s="170"/>
      <c r="B2970" s="170"/>
    </row>
    <row r="2971" spans="1:2" x14ac:dyDescent="0.25">
      <c r="A2971" s="170"/>
      <c r="B2971" s="170"/>
    </row>
    <row r="2972" spans="1:2" x14ac:dyDescent="0.25">
      <c r="A2972" s="170"/>
      <c r="B2972" s="170"/>
    </row>
    <row r="2973" spans="1:2" x14ac:dyDescent="0.25">
      <c r="A2973" s="170"/>
      <c r="B2973" s="170"/>
    </row>
    <row r="2974" spans="1:2" x14ac:dyDescent="0.25">
      <c r="A2974" s="170"/>
      <c r="B2974" s="170"/>
    </row>
    <row r="2975" spans="1:2" x14ac:dyDescent="0.25">
      <c r="A2975" s="170"/>
      <c r="B2975" s="170"/>
    </row>
    <row r="2976" spans="1:2" x14ac:dyDescent="0.25">
      <c r="A2976" s="170"/>
      <c r="B2976" s="170"/>
    </row>
    <row r="2977" spans="1:2" x14ac:dyDescent="0.25">
      <c r="A2977" s="170"/>
      <c r="B2977" s="170"/>
    </row>
    <row r="2978" spans="1:2" x14ac:dyDescent="0.25">
      <c r="A2978" s="170"/>
      <c r="B2978" s="170"/>
    </row>
    <row r="2979" spans="1:2" x14ac:dyDescent="0.25">
      <c r="A2979" s="170"/>
      <c r="B2979" s="170"/>
    </row>
    <row r="2980" spans="1:2" x14ac:dyDescent="0.25">
      <c r="A2980" s="170"/>
      <c r="B2980" s="170"/>
    </row>
    <row r="2981" spans="1:2" x14ac:dyDescent="0.25">
      <c r="A2981" s="170"/>
      <c r="B2981" s="170"/>
    </row>
    <row r="2982" spans="1:2" x14ac:dyDescent="0.25">
      <c r="A2982" s="170"/>
      <c r="B2982" s="170"/>
    </row>
    <row r="2983" spans="1:2" x14ac:dyDescent="0.25">
      <c r="A2983" s="170"/>
      <c r="B2983" s="170"/>
    </row>
    <row r="2984" spans="1:2" x14ac:dyDescent="0.25">
      <c r="A2984" s="170"/>
      <c r="B2984" s="170"/>
    </row>
    <row r="2985" spans="1:2" x14ac:dyDescent="0.25">
      <c r="A2985" s="170"/>
      <c r="B2985" s="170"/>
    </row>
    <row r="2986" spans="1:2" x14ac:dyDescent="0.25">
      <c r="A2986" s="170"/>
      <c r="B2986" s="170"/>
    </row>
    <row r="2987" spans="1:2" x14ac:dyDescent="0.25">
      <c r="A2987" s="170"/>
      <c r="B2987" s="170"/>
    </row>
    <row r="2988" spans="1:2" x14ac:dyDescent="0.25">
      <c r="A2988" s="170"/>
      <c r="B2988" s="170"/>
    </row>
    <row r="2989" spans="1:2" x14ac:dyDescent="0.25">
      <c r="A2989" s="170"/>
      <c r="B2989" s="170"/>
    </row>
    <row r="2990" spans="1:2" x14ac:dyDescent="0.25">
      <c r="A2990" s="170"/>
      <c r="B2990" s="170"/>
    </row>
    <row r="2991" spans="1:2" x14ac:dyDescent="0.25">
      <c r="A2991" s="170"/>
      <c r="B2991" s="170"/>
    </row>
    <row r="2992" spans="1:2" x14ac:dyDescent="0.25">
      <c r="A2992" s="170"/>
      <c r="B2992" s="170"/>
    </row>
    <row r="2993" spans="1:2" x14ac:dyDescent="0.25">
      <c r="A2993" s="170"/>
      <c r="B2993" s="170"/>
    </row>
    <row r="2994" spans="1:2" x14ac:dyDescent="0.25">
      <c r="A2994" s="170"/>
      <c r="B2994" s="170"/>
    </row>
    <row r="2995" spans="1:2" x14ac:dyDescent="0.25">
      <c r="A2995" s="170"/>
      <c r="B2995" s="170"/>
    </row>
    <row r="2996" spans="1:2" x14ac:dyDescent="0.25">
      <c r="A2996" s="170"/>
      <c r="B2996" s="170"/>
    </row>
    <row r="2997" spans="1:2" x14ac:dyDescent="0.25">
      <c r="A2997" s="170"/>
      <c r="B2997" s="170"/>
    </row>
    <row r="2998" spans="1:2" x14ac:dyDescent="0.25">
      <c r="A2998" s="170"/>
      <c r="B2998" s="170"/>
    </row>
    <row r="2999" spans="1:2" x14ac:dyDescent="0.25">
      <c r="A2999" s="170"/>
      <c r="B2999" s="170"/>
    </row>
    <row r="3000" spans="1:2" x14ac:dyDescent="0.25">
      <c r="A3000" s="170"/>
      <c r="B3000" s="170"/>
    </row>
    <row r="3001" spans="1:2" x14ac:dyDescent="0.25">
      <c r="A3001" s="170"/>
      <c r="B3001" s="170"/>
    </row>
    <row r="3002" spans="1:2" x14ac:dyDescent="0.25">
      <c r="A3002" s="170"/>
      <c r="B3002" s="170"/>
    </row>
    <row r="3003" spans="1:2" x14ac:dyDescent="0.25">
      <c r="A3003" s="170"/>
      <c r="B3003" s="170"/>
    </row>
    <row r="3004" spans="1:2" x14ac:dyDescent="0.25">
      <c r="A3004" s="170"/>
      <c r="B3004" s="170"/>
    </row>
    <row r="3005" spans="1:2" x14ac:dyDescent="0.25">
      <c r="A3005" s="170"/>
      <c r="B3005" s="170"/>
    </row>
    <row r="3006" spans="1:2" x14ac:dyDescent="0.25">
      <c r="A3006" s="170"/>
      <c r="B3006" s="170"/>
    </row>
    <row r="3007" spans="1:2" x14ac:dyDescent="0.25">
      <c r="A3007" s="170"/>
      <c r="B3007" s="170"/>
    </row>
    <row r="3008" spans="1:2" x14ac:dyDescent="0.25">
      <c r="A3008" s="170"/>
      <c r="B3008" s="170"/>
    </row>
    <row r="3009" spans="1:2" x14ac:dyDescent="0.25">
      <c r="A3009" s="170"/>
      <c r="B3009" s="170"/>
    </row>
    <row r="3010" spans="1:2" x14ac:dyDescent="0.25">
      <c r="A3010" s="170"/>
      <c r="B3010" s="170"/>
    </row>
    <row r="3011" spans="1:2" x14ac:dyDescent="0.25">
      <c r="A3011" s="170"/>
      <c r="B3011" s="170"/>
    </row>
    <row r="3012" spans="1:2" x14ac:dyDescent="0.25">
      <c r="A3012" s="170"/>
      <c r="B3012" s="170"/>
    </row>
    <row r="3013" spans="1:2" x14ac:dyDescent="0.25">
      <c r="A3013" s="170"/>
      <c r="B3013" s="170"/>
    </row>
    <row r="3014" spans="1:2" x14ac:dyDescent="0.25">
      <c r="A3014" s="170"/>
      <c r="B3014" s="170"/>
    </row>
    <row r="3015" spans="1:2" x14ac:dyDescent="0.25">
      <c r="A3015" s="170"/>
      <c r="B3015" s="170"/>
    </row>
    <row r="3016" spans="1:2" x14ac:dyDescent="0.25">
      <c r="A3016" s="170"/>
      <c r="B3016" s="170"/>
    </row>
    <row r="3017" spans="1:2" x14ac:dyDescent="0.25">
      <c r="A3017" s="170"/>
      <c r="B3017" s="170"/>
    </row>
    <row r="3018" spans="1:2" x14ac:dyDescent="0.25">
      <c r="A3018" s="170"/>
      <c r="B3018" s="170"/>
    </row>
    <row r="3019" spans="1:2" x14ac:dyDescent="0.25">
      <c r="A3019" s="170"/>
      <c r="B3019" s="170"/>
    </row>
    <row r="3020" spans="1:2" x14ac:dyDescent="0.25">
      <c r="A3020" s="170"/>
      <c r="B3020" s="170"/>
    </row>
    <row r="3021" spans="1:2" x14ac:dyDescent="0.25">
      <c r="A3021" s="170"/>
      <c r="B3021" s="170"/>
    </row>
    <row r="3022" spans="1:2" x14ac:dyDescent="0.25">
      <c r="A3022" s="170"/>
      <c r="B3022" s="170"/>
    </row>
    <row r="3023" spans="1:2" x14ac:dyDescent="0.25">
      <c r="A3023" s="170"/>
      <c r="B3023" s="170"/>
    </row>
    <row r="3024" spans="1:2" x14ac:dyDescent="0.25">
      <c r="A3024" s="170"/>
      <c r="B3024" s="170"/>
    </row>
    <row r="3025" spans="1:2" x14ac:dyDescent="0.25">
      <c r="A3025" s="170"/>
      <c r="B3025" s="170"/>
    </row>
    <row r="3026" spans="1:2" x14ac:dyDescent="0.25">
      <c r="A3026" s="170"/>
      <c r="B3026" s="170"/>
    </row>
    <row r="3027" spans="1:2" x14ac:dyDescent="0.25">
      <c r="A3027" s="170"/>
      <c r="B3027" s="170"/>
    </row>
    <row r="3028" spans="1:2" x14ac:dyDescent="0.25">
      <c r="A3028" s="170"/>
      <c r="B3028" s="170"/>
    </row>
    <row r="3029" spans="1:2" x14ac:dyDescent="0.25">
      <c r="A3029" s="170"/>
      <c r="B3029" s="170"/>
    </row>
    <row r="3030" spans="1:2" x14ac:dyDescent="0.25">
      <c r="A3030" s="170"/>
      <c r="B3030" s="170"/>
    </row>
    <row r="3031" spans="1:2" x14ac:dyDescent="0.25">
      <c r="A3031" s="170"/>
      <c r="B3031" s="170"/>
    </row>
    <row r="3032" spans="1:2" x14ac:dyDescent="0.25">
      <c r="A3032" s="170"/>
      <c r="B3032" s="170"/>
    </row>
    <row r="3033" spans="1:2" x14ac:dyDescent="0.25">
      <c r="A3033" s="170"/>
      <c r="B3033" s="170"/>
    </row>
    <row r="3034" spans="1:2" x14ac:dyDescent="0.25">
      <c r="A3034" s="170"/>
      <c r="B3034" s="170"/>
    </row>
    <row r="3035" spans="1:2" x14ac:dyDescent="0.25">
      <c r="A3035" s="170"/>
      <c r="B3035" s="170"/>
    </row>
    <row r="3036" spans="1:2" x14ac:dyDescent="0.25">
      <c r="A3036" s="170"/>
      <c r="B3036" s="170"/>
    </row>
    <row r="3037" spans="1:2" x14ac:dyDescent="0.25">
      <c r="A3037" s="170"/>
      <c r="B3037" s="170"/>
    </row>
    <row r="3038" spans="1:2" x14ac:dyDescent="0.25">
      <c r="A3038" s="170"/>
      <c r="B3038" s="170"/>
    </row>
    <row r="3039" spans="1:2" x14ac:dyDescent="0.25">
      <c r="A3039" s="170"/>
      <c r="B3039" s="170"/>
    </row>
    <row r="3040" spans="1:2" x14ac:dyDescent="0.25">
      <c r="A3040" s="170"/>
      <c r="B3040" s="170"/>
    </row>
    <row r="3041" spans="1:2" x14ac:dyDescent="0.25">
      <c r="A3041" s="170"/>
      <c r="B3041" s="170"/>
    </row>
    <row r="3042" spans="1:2" x14ac:dyDescent="0.25">
      <c r="A3042" s="170"/>
      <c r="B3042" s="170"/>
    </row>
    <row r="3043" spans="1:2" x14ac:dyDescent="0.25">
      <c r="A3043" s="170"/>
      <c r="B3043" s="170"/>
    </row>
    <row r="3044" spans="1:2" x14ac:dyDescent="0.25">
      <c r="A3044" s="170"/>
      <c r="B3044" s="170"/>
    </row>
    <row r="3045" spans="1:2" x14ac:dyDescent="0.25">
      <c r="A3045" s="170"/>
      <c r="B3045" s="170"/>
    </row>
    <row r="3046" spans="1:2" x14ac:dyDescent="0.25">
      <c r="A3046" s="170"/>
      <c r="B3046" s="170"/>
    </row>
    <row r="3047" spans="1:2" x14ac:dyDescent="0.25">
      <c r="A3047" s="170"/>
      <c r="B3047" s="170"/>
    </row>
    <row r="3048" spans="1:2" x14ac:dyDescent="0.25">
      <c r="A3048" s="170"/>
      <c r="B3048" s="170"/>
    </row>
    <row r="3049" spans="1:2" x14ac:dyDescent="0.25">
      <c r="A3049" s="170"/>
      <c r="B3049" s="170"/>
    </row>
    <row r="3050" spans="1:2" x14ac:dyDescent="0.25">
      <c r="A3050" s="170"/>
      <c r="B3050" s="170"/>
    </row>
    <row r="3051" spans="1:2" x14ac:dyDescent="0.25">
      <c r="A3051" s="170"/>
      <c r="B3051" s="170"/>
    </row>
    <row r="3052" spans="1:2" x14ac:dyDescent="0.25">
      <c r="A3052" s="170"/>
      <c r="B3052" s="170"/>
    </row>
    <row r="3053" spans="1:2" x14ac:dyDescent="0.25">
      <c r="A3053" s="170"/>
      <c r="B3053" s="170"/>
    </row>
    <row r="3054" spans="1:2" x14ac:dyDescent="0.25">
      <c r="A3054" s="170"/>
      <c r="B3054" s="170"/>
    </row>
    <row r="3055" spans="1:2" x14ac:dyDescent="0.25">
      <c r="A3055" s="170"/>
      <c r="B3055" s="170"/>
    </row>
    <row r="3056" spans="1:2" x14ac:dyDescent="0.25">
      <c r="A3056" s="170"/>
      <c r="B3056" s="170"/>
    </row>
    <row r="3057" spans="1:2" x14ac:dyDescent="0.25">
      <c r="A3057" s="170"/>
      <c r="B3057" s="170"/>
    </row>
    <row r="3058" spans="1:2" x14ac:dyDescent="0.25">
      <c r="A3058" s="170"/>
      <c r="B3058" s="170"/>
    </row>
    <row r="3059" spans="1:2" x14ac:dyDescent="0.25">
      <c r="A3059" s="170"/>
      <c r="B3059" s="170"/>
    </row>
    <row r="3060" spans="1:2" x14ac:dyDescent="0.25">
      <c r="A3060" s="170"/>
      <c r="B3060" s="170"/>
    </row>
    <row r="3061" spans="1:2" x14ac:dyDescent="0.25">
      <c r="A3061" s="170"/>
      <c r="B3061" s="170"/>
    </row>
    <row r="3062" spans="1:2" x14ac:dyDescent="0.25">
      <c r="A3062" s="170"/>
      <c r="B3062" s="170"/>
    </row>
    <row r="3063" spans="1:2" x14ac:dyDescent="0.25">
      <c r="A3063" s="170"/>
      <c r="B3063" s="170"/>
    </row>
    <row r="3064" spans="1:2" x14ac:dyDescent="0.25">
      <c r="A3064" s="170"/>
      <c r="B3064" s="170"/>
    </row>
    <row r="3065" spans="1:2" x14ac:dyDescent="0.25">
      <c r="A3065" s="170"/>
      <c r="B3065" s="170"/>
    </row>
    <row r="3066" spans="1:2" x14ac:dyDescent="0.25">
      <c r="A3066" s="170"/>
      <c r="B3066" s="170"/>
    </row>
    <row r="3067" spans="1:2" x14ac:dyDescent="0.25">
      <c r="A3067" s="170"/>
      <c r="B3067" s="170"/>
    </row>
    <row r="3068" spans="1:2" x14ac:dyDescent="0.25">
      <c r="A3068" s="170"/>
      <c r="B3068" s="170"/>
    </row>
    <row r="3069" spans="1:2" x14ac:dyDescent="0.25">
      <c r="A3069" s="170"/>
      <c r="B3069" s="170"/>
    </row>
    <row r="3070" spans="1:2" x14ac:dyDescent="0.25">
      <c r="A3070" s="170"/>
      <c r="B3070" s="170"/>
    </row>
    <row r="3071" spans="1:2" x14ac:dyDescent="0.25">
      <c r="A3071" s="170"/>
      <c r="B3071" s="170"/>
    </row>
    <row r="3072" spans="1:2" x14ac:dyDescent="0.25">
      <c r="A3072" s="170"/>
      <c r="B3072" s="170"/>
    </row>
    <row r="3073" spans="1:2" x14ac:dyDescent="0.25">
      <c r="A3073" s="170"/>
      <c r="B3073" s="170"/>
    </row>
    <row r="3074" spans="1:2" x14ac:dyDescent="0.25">
      <c r="A3074" s="170"/>
      <c r="B3074" s="170"/>
    </row>
    <row r="3075" spans="1:2" x14ac:dyDescent="0.25">
      <c r="A3075" s="170"/>
      <c r="B3075" s="170"/>
    </row>
    <row r="3076" spans="1:2" x14ac:dyDescent="0.25">
      <c r="A3076" s="170"/>
      <c r="B3076" s="170"/>
    </row>
    <row r="3077" spans="1:2" x14ac:dyDescent="0.25">
      <c r="A3077" s="170"/>
      <c r="B3077" s="170"/>
    </row>
    <row r="3078" spans="1:2" x14ac:dyDescent="0.25">
      <c r="A3078" s="170"/>
      <c r="B3078" s="170"/>
    </row>
    <row r="3079" spans="1:2" x14ac:dyDescent="0.25">
      <c r="A3079" s="170"/>
      <c r="B3079" s="170"/>
    </row>
    <row r="3080" spans="1:2" x14ac:dyDescent="0.25">
      <c r="A3080" s="170"/>
      <c r="B3080" s="170"/>
    </row>
    <row r="3081" spans="1:2" x14ac:dyDescent="0.25">
      <c r="A3081" s="170"/>
      <c r="B3081" s="170"/>
    </row>
    <row r="3082" spans="1:2" x14ac:dyDescent="0.25">
      <c r="A3082" s="170"/>
      <c r="B3082" s="170"/>
    </row>
    <row r="3083" spans="1:2" x14ac:dyDescent="0.25">
      <c r="A3083" s="170"/>
      <c r="B3083" s="170"/>
    </row>
    <row r="3084" spans="1:2" x14ac:dyDescent="0.25">
      <c r="A3084" s="170"/>
      <c r="B3084" s="170"/>
    </row>
    <row r="3085" spans="1:2" x14ac:dyDescent="0.25">
      <c r="A3085" s="170"/>
      <c r="B3085" s="170"/>
    </row>
    <row r="3086" spans="1:2" x14ac:dyDescent="0.25">
      <c r="A3086" s="170"/>
      <c r="B3086" s="170"/>
    </row>
    <row r="3087" spans="1:2" x14ac:dyDescent="0.25">
      <c r="A3087" s="170"/>
      <c r="B3087" s="170"/>
    </row>
    <row r="3088" spans="1:2" x14ac:dyDescent="0.25">
      <c r="A3088" s="170"/>
      <c r="B3088" s="170"/>
    </row>
    <row r="3089" spans="1:2" x14ac:dyDescent="0.25">
      <c r="A3089" s="170"/>
      <c r="B3089" s="170"/>
    </row>
    <row r="3090" spans="1:2" x14ac:dyDescent="0.25">
      <c r="A3090" s="170"/>
      <c r="B3090" s="170"/>
    </row>
    <row r="3091" spans="1:2" x14ac:dyDescent="0.25">
      <c r="A3091" s="170"/>
      <c r="B3091" s="170"/>
    </row>
    <row r="3092" spans="1:2" x14ac:dyDescent="0.25">
      <c r="A3092" s="170"/>
      <c r="B3092" s="170"/>
    </row>
    <row r="3093" spans="1:2" x14ac:dyDescent="0.25">
      <c r="A3093" s="170"/>
      <c r="B3093" s="170"/>
    </row>
    <row r="3094" spans="1:2" x14ac:dyDescent="0.25">
      <c r="A3094" s="170"/>
      <c r="B3094" s="170"/>
    </row>
    <row r="3095" spans="1:2" x14ac:dyDescent="0.25">
      <c r="A3095" s="170"/>
      <c r="B3095" s="170"/>
    </row>
    <row r="3096" spans="1:2" x14ac:dyDescent="0.25">
      <c r="A3096" s="170"/>
      <c r="B3096" s="170"/>
    </row>
    <row r="3097" spans="1:2" x14ac:dyDescent="0.25">
      <c r="A3097" s="170"/>
      <c r="B3097" s="170"/>
    </row>
    <row r="3098" spans="1:2" x14ac:dyDescent="0.25">
      <c r="A3098" s="170"/>
      <c r="B3098" s="170"/>
    </row>
    <row r="3099" spans="1:2" x14ac:dyDescent="0.25">
      <c r="A3099" s="170"/>
      <c r="B3099" s="170"/>
    </row>
    <row r="3100" spans="1:2" x14ac:dyDescent="0.25">
      <c r="A3100" s="170"/>
      <c r="B3100" s="170"/>
    </row>
    <row r="3101" spans="1:2" x14ac:dyDescent="0.25">
      <c r="A3101" s="170"/>
      <c r="B3101" s="170"/>
    </row>
    <row r="3102" spans="1:2" x14ac:dyDescent="0.25">
      <c r="A3102" s="170"/>
      <c r="B3102" s="170"/>
    </row>
    <row r="3103" spans="1:2" x14ac:dyDescent="0.25">
      <c r="A3103" s="170"/>
      <c r="B3103" s="170"/>
    </row>
    <row r="3104" spans="1:2" x14ac:dyDescent="0.25">
      <c r="A3104" s="170"/>
      <c r="B3104" s="170"/>
    </row>
    <row r="3105" spans="1:2" x14ac:dyDescent="0.25">
      <c r="A3105" s="170"/>
      <c r="B3105" s="170"/>
    </row>
    <row r="3106" spans="1:2" x14ac:dyDescent="0.25">
      <c r="A3106" s="170"/>
      <c r="B3106" s="170"/>
    </row>
    <row r="3107" spans="1:2" x14ac:dyDescent="0.25">
      <c r="A3107" s="170"/>
      <c r="B3107" s="170"/>
    </row>
    <row r="3108" spans="1:2" x14ac:dyDescent="0.25">
      <c r="A3108" s="170"/>
      <c r="B3108" s="170"/>
    </row>
    <row r="3109" spans="1:2" x14ac:dyDescent="0.25">
      <c r="A3109" s="170"/>
      <c r="B3109" s="170"/>
    </row>
    <row r="3110" spans="1:2" x14ac:dyDescent="0.25">
      <c r="A3110" s="170"/>
      <c r="B3110" s="170"/>
    </row>
    <row r="3111" spans="1:2" x14ac:dyDescent="0.25">
      <c r="A3111" s="170"/>
      <c r="B3111" s="170"/>
    </row>
    <row r="3112" spans="1:2" x14ac:dyDescent="0.25">
      <c r="A3112" s="170"/>
      <c r="B3112" s="170"/>
    </row>
    <row r="3113" spans="1:2" x14ac:dyDescent="0.25">
      <c r="A3113" s="170"/>
      <c r="B3113" s="170"/>
    </row>
    <row r="3114" spans="1:2" x14ac:dyDescent="0.25">
      <c r="A3114" s="170"/>
      <c r="B3114" s="170"/>
    </row>
    <row r="3115" spans="1:2" x14ac:dyDescent="0.25">
      <c r="A3115" s="170"/>
      <c r="B3115" s="170"/>
    </row>
    <row r="3116" spans="1:2" x14ac:dyDescent="0.25">
      <c r="A3116" s="170"/>
      <c r="B3116" s="170"/>
    </row>
    <row r="3117" spans="1:2" x14ac:dyDescent="0.25">
      <c r="A3117" s="170"/>
      <c r="B3117" s="170"/>
    </row>
    <row r="3118" spans="1:2" x14ac:dyDescent="0.25">
      <c r="A3118" s="170"/>
      <c r="B3118" s="170"/>
    </row>
    <row r="3119" spans="1:2" x14ac:dyDescent="0.25">
      <c r="A3119" s="170"/>
      <c r="B3119" s="170"/>
    </row>
    <row r="3120" spans="1:2" x14ac:dyDescent="0.25">
      <c r="A3120" s="170"/>
      <c r="B3120" s="170"/>
    </row>
    <row r="3121" spans="1:2" x14ac:dyDescent="0.25">
      <c r="A3121" s="170"/>
      <c r="B3121" s="170"/>
    </row>
    <row r="3122" spans="1:2" x14ac:dyDescent="0.25">
      <c r="A3122" s="170"/>
      <c r="B3122" s="170"/>
    </row>
    <row r="3123" spans="1:2" x14ac:dyDescent="0.25">
      <c r="A3123" s="170"/>
      <c r="B3123" s="170"/>
    </row>
    <row r="3124" spans="1:2" x14ac:dyDescent="0.25">
      <c r="A3124" s="170"/>
      <c r="B3124" s="170"/>
    </row>
    <row r="3125" spans="1:2" x14ac:dyDescent="0.25">
      <c r="A3125" s="170"/>
      <c r="B3125" s="170"/>
    </row>
    <row r="3126" spans="1:2" x14ac:dyDescent="0.25">
      <c r="A3126" s="170"/>
      <c r="B3126" s="170"/>
    </row>
    <row r="3127" spans="1:2" x14ac:dyDescent="0.25">
      <c r="A3127" s="170"/>
      <c r="B3127" s="170"/>
    </row>
    <row r="3128" spans="1:2" x14ac:dyDescent="0.25">
      <c r="A3128" s="170"/>
      <c r="B3128" s="170"/>
    </row>
    <row r="3129" spans="1:2" x14ac:dyDescent="0.25">
      <c r="A3129" s="170"/>
      <c r="B3129" s="170"/>
    </row>
    <row r="3130" spans="1:2" x14ac:dyDescent="0.25">
      <c r="A3130" s="170"/>
      <c r="B3130" s="170"/>
    </row>
    <row r="3131" spans="1:2" x14ac:dyDescent="0.25">
      <c r="A3131" s="170"/>
      <c r="B3131" s="170"/>
    </row>
    <row r="3132" spans="1:2" x14ac:dyDescent="0.25">
      <c r="A3132" s="170"/>
      <c r="B3132" s="170"/>
    </row>
    <row r="3133" spans="1:2" x14ac:dyDescent="0.25">
      <c r="A3133" s="170"/>
      <c r="B3133" s="170"/>
    </row>
    <row r="3134" spans="1:2" x14ac:dyDescent="0.25">
      <c r="A3134" s="170"/>
      <c r="B3134" s="170"/>
    </row>
    <row r="3135" spans="1:2" x14ac:dyDescent="0.25">
      <c r="A3135" s="170"/>
      <c r="B3135" s="170"/>
    </row>
    <row r="3136" spans="1:2" x14ac:dyDescent="0.25">
      <c r="A3136" s="170"/>
      <c r="B3136" s="170"/>
    </row>
    <row r="3137" spans="1:2" x14ac:dyDescent="0.25">
      <c r="A3137" s="170"/>
      <c r="B3137" s="170"/>
    </row>
    <row r="3138" spans="1:2" x14ac:dyDescent="0.25">
      <c r="A3138" s="170"/>
      <c r="B3138" s="170"/>
    </row>
    <row r="3139" spans="1:2" x14ac:dyDescent="0.25">
      <c r="A3139" s="170"/>
      <c r="B3139" s="170"/>
    </row>
    <row r="3140" spans="1:2" x14ac:dyDescent="0.25">
      <c r="A3140" s="170"/>
      <c r="B3140" s="170"/>
    </row>
    <row r="3141" spans="1:2" x14ac:dyDescent="0.25">
      <c r="A3141" s="170"/>
      <c r="B3141" s="170"/>
    </row>
    <row r="3142" spans="1:2" x14ac:dyDescent="0.25">
      <c r="A3142" s="170"/>
      <c r="B3142" s="170"/>
    </row>
    <row r="3143" spans="1:2" x14ac:dyDescent="0.25">
      <c r="A3143" s="170"/>
      <c r="B3143" s="170"/>
    </row>
    <row r="3144" spans="1:2" x14ac:dyDescent="0.25">
      <c r="A3144" s="170"/>
      <c r="B3144" s="170"/>
    </row>
    <row r="3145" spans="1:2" x14ac:dyDescent="0.25">
      <c r="A3145" s="170"/>
      <c r="B3145" s="170"/>
    </row>
    <row r="3146" spans="1:2" x14ac:dyDescent="0.25">
      <c r="A3146" s="170"/>
      <c r="B3146" s="170"/>
    </row>
    <row r="3147" spans="1:2" x14ac:dyDescent="0.25">
      <c r="A3147" s="170"/>
      <c r="B3147" s="170"/>
    </row>
    <row r="3148" spans="1:2" x14ac:dyDescent="0.25">
      <c r="A3148" s="170"/>
      <c r="B3148" s="170"/>
    </row>
    <row r="3149" spans="1:2" x14ac:dyDescent="0.25">
      <c r="A3149" s="170"/>
      <c r="B3149" s="170"/>
    </row>
    <row r="3150" spans="1:2" x14ac:dyDescent="0.25">
      <c r="A3150" s="170"/>
      <c r="B3150" s="170"/>
    </row>
    <row r="3151" spans="1:2" x14ac:dyDescent="0.25">
      <c r="A3151" s="170"/>
      <c r="B3151" s="170"/>
    </row>
    <row r="3152" spans="1:2" x14ac:dyDescent="0.25">
      <c r="A3152" s="170"/>
      <c r="B3152" s="170"/>
    </row>
    <row r="3153" spans="1:2" x14ac:dyDescent="0.25">
      <c r="A3153" s="170"/>
      <c r="B3153" s="170"/>
    </row>
    <row r="3154" spans="1:2" x14ac:dyDescent="0.25">
      <c r="A3154" s="170"/>
      <c r="B3154" s="170"/>
    </row>
    <row r="3155" spans="1:2" x14ac:dyDescent="0.25">
      <c r="A3155" s="170"/>
      <c r="B3155" s="170"/>
    </row>
    <row r="3156" spans="1:2" x14ac:dyDescent="0.25">
      <c r="A3156" s="170"/>
      <c r="B3156" s="170"/>
    </row>
    <row r="3157" spans="1:2" x14ac:dyDescent="0.25">
      <c r="A3157" s="170"/>
      <c r="B3157" s="170"/>
    </row>
    <row r="3158" spans="1:2" x14ac:dyDescent="0.25">
      <c r="A3158" s="170"/>
      <c r="B3158" s="170"/>
    </row>
    <row r="3159" spans="1:2" x14ac:dyDescent="0.25">
      <c r="A3159" s="170"/>
      <c r="B3159" s="170"/>
    </row>
    <row r="3160" spans="1:2" x14ac:dyDescent="0.25">
      <c r="A3160" s="170"/>
      <c r="B3160" s="170"/>
    </row>
    <row r="3161" spans="1:2" x14ac:dyDescent="0.25">
      <c r="A3161" s="170"/>
      <c r="B3161" s="170"/>
    </row>
    <row r="3162" spans="1:2" x14ac:dyDescent="0.25">
      <c r="A3162" s="170"/>
      <c r="B3162" s="170"/>
    </row>
    <row r="3163" spans="1:2" x14ac:dyDescent="0.25">
      <c r="A3163" s="170"/>
      <c r="B3163" s="170"/>
    </row>
    <row r="3164" spans="1:2" x14ac:dyDescent="0.25">
      <c r="A3164" s="170"/>
      <c r="B3164" s="170"/>
    </row>
    <row r="3165" spans="1:2" x14ac:dyDescent="0.25">
      <c r="A3165" s="170"/>
      <c r="B3165" s="170"/>
    </row>
    <row r="3166" spans="1:2" x14ac:dyDescent="0.25">
      <c r="A3166" s="170"/>
      <c r="B3166" s="170"/>
    </row>
    <row r="3167" spans="1:2" x14ac:dyDescent="0.25">
      <c r="A3167" s="170"/>
      <c r="B3167" s="170"/>
    </row>
    <row r="3168" spans="1:2" x14ac:dyDescent="0.25">
      <c r="A3168" s="170"/>
      <c r="B3168" s="170"/>
    </row>
    <row r="3169" spans="1:2" x14ac:dyDescent="0.25">
      <c r="A3169" s="170"/>
      <c r="B3169" s="170"/>
    </row>
    <row r="3170" spans="1:2" x14ac:dyDescent="0.25">
      <c r="A3170" s="170"/>
      <c r="B3170" s="170"/>
    </row>
    <row r="3171" spans="1:2" x14ac:dyDescent="0.25">
      <c r="A3171" s="170"/>
      <c r="B3171" s="170"/>
    </row>
    <row r="3172" spans="1:2" x14ac:dyDescent="0.25">
      <c r="A3172" s="170"/>
      <c r="B3172" s="170"/>
    </row>
    <row r="3173" spans="1:2" x14ac:dyDescent="0.25">
      <c r="A3173" s="170"/>
      <c r="B3173" s="170"/>
    </row>
    <row r="3174" spans="1:2" x14ac:dyDescent="0.25">
      <c r="A3174" s="170"/>
      <c r="B3174" s="170"/>
    </row>
    <row r="3175" spans="1:2" x14ac:dyDescent="0.25">
      <c r="A3175" s="170"/>
      <c r="B3175" s="170"/>
    </row>
    <row r="3176" spans="1:2" x14ac:dyDescent="0.25">
      <c r="A3176" s="170"/>
      <c r="B3176" s="170"/>
    </row>
    <row r="3177" spans="1:2" x14ac:dyDescent="0.25">
      <c r="A3177" s="170"/>
      <c r="B3177" s="170"/>
    </row>
    <row r="3178" spans="1:2" x14ac:dyDescent="0.25">
      <c r="A3178" s="170"/>
      <c r="B3178" s="170"/>
    </row>
    <row r="3179" spans="1:2" x14ac:dyDescent="0.25">
      <c r="A3179" s="170"/>
      <c r="B3179" s="170"/>
    </row>
    <row r="3180" spans="1:2" x14ac:dyDescent="0.25">
      <c r="A3180" s="170"/>
      <c r="B3180" s="170"/>
    </row>
    <row r="3181" spans="1:2" x14ac:dyDescent="0.25">
      <c r="A3181" s="170"/>
      <c r="B3181" s="170"/>
    </row>
    <row r="3182" spans="1:2" x14ac:dyDescent="0.25">
      <c r="A3182" s="170"/>
      <c r="B3182" s="170"/>
    </row>
    <row r="3183" spans="1:2" x14ac:dyDescent="0.25">
      <c r="A3183" s="170"/>
      <c r="B3183" s="170"/>
    </row>
    <row r="3184" spans="1:2" x14ac:dyDescent="0.25">
      <c r="A3184" s="170"/>
      <c r="B3184" s="170"/>
    </row>
    <row r="3185" spans="1:2" x14ac:dyDescent="0.25">
      <c r="A3185" s="170"/>
      <c r="B3185" s="170"/>
    </row>
    <row r="3186" spans="1:2" x14ac:dyDescent="0.25">
      <c r="A3186" s="170"/>
      <c r="B3186" s="170"/>
    </row>
    <row r="3187" spans="1:2" x14ac:dyDescent="0.25">
      <c r="A3187" s="170"/>
      <c r="B3187" s="170"/>
    </row>
    <row r="3188" spans="1:2" x14ac:dyDescent="0.25">
      <c r="A3188" s="170"/>
      <c r="B3188" s="170"/>
    </row>
    <row r="3189" spans="1:2" x14ac:dyDescent="0.25">
      <c r="A3189" s="170"/>
      <c r="B3189" s="170"/>
    </row>
    <row r="3190" spans="1:2" x14ac:dyDescent="0.25">
      <c r="A3190" s="170"/>
      <c r="B3190" s="170"/>
    </row>
    <row r="3191" spans="1:2" x14ac:dyDescent="0.25">
      <c r="A3191" s="170"/>
      <c r="B3191" s="170"/>
    </row>
    <row r="3192" spans="1:2" x14ac:dyDescent="0.25">
      <c r="A3192" s="170"/>
      <c r="B3192" s="170"/>
    </row>
    <row r="3193" spans="1:2" x14ac:dyDescent="0.25">
      <c r="A3193" s="170"/>
      <c r="B3193" s="170"/>
    </row>
    <row r="3194" spans="1:2" x14ac:dyDescent="0.25">
      <c r="A3194" s="170"/>
      <c r="B3194" s="170"/>
    </row>
    <row r="3195" spans="1:2" x14ac:dyDescent="0.25">
      <c r="A3195" s="170"/>
      <c r="B3195" s="170"/>
    </row>
    <row r="3196" spans="1:2" x14ac:dyDescent="0.25">
      <c r="A3196" s="170"/>
      <c r="B3196" s="170"/>
    </row>
    <row r="3197" spans="1:2" x14ac:dyDescent="0.25">
      <c r="A3197" s="170"/>
      <c r="B3197" s="170"/>
    </row>
    <row r="3198" spans="1:2" x14ac:dyDescent="0.25">
      <c r="A3198" s="170"/>
      <c r="B3198" s="170"/>
    </row>
    <row r="3199" spans="1:2" x14ac:dyDescent="0.25">
      <c r="A3199" s="170"/>
      <c r="B3199" s="170"/>
    </row>
    <row r="3200" spans="1:2" x14ac:dyDescent="0.25">
      <c r="A3200" s="170"/>
      <c r="B3200" s="170"/>
    </row>
    <row r="3201" spans="1:2" x14ac:dyDescent="0.25">
      <c r="A3201" s="170"/>
      <c r="B3201" s="170"/>
    </row>
    <row r="3202" spans="1:2" x14ac:dyDescent="0.25">
      <c r="A3202" s="170"/>
      <c r="B3202" s="170"/>
    </row>
    <row r="3203" spans="1:2" x14ac:dyDescent="0.25">
      <c r="A3203" s="170"/>
      <c r="B3203" s="170"/>
    </row>
    <row r="3204" spans="1:2" x14ac:dyDescent="0.25">
      <c r="A3204" s="170"/>
      <c r="B3204" s="170"/>
    </row>
    <row r="3205" spans="1:2" x14ac:dyDescent="0.25">
      <c r="A3205" s="170"/>
      <c r="B3205" s="170"/>
    </row>
    <row r="3206" spans="1:2" x14ac:dyDescent="0.25">
      <c r="A3206" s="170"/>
      <c r="B3206" s="170"/>
    </row>
    <row r="3207" spans="1:2" x14ac:dyDescent="0.25">
      <c r="A3207" s="170"/>
      <c r="B3207" s="170"/>
    </row>
    <row r="3208" spans="1:2" x14ac:dyDescent="0.25">
      <c r="A3208" s="170"/>
      <c r="B3208" s="170"/>
    </row>
    <row r="3209" spans="1:2" x14ac:dyDescent="0.25">
      <c r="A3209" s="170"/>
      <c r="B3209" s="170"/>
    </row>
    <row r="3210" spans="1:2" x14ac:dyDescent="0.25">
      <c r="A3210" s="170"/>
      <c r="B3210" s="170"/>
    </row>
    <row r="3211" spans="1:2" x14ac:dyDescent="0.25">
      <c r="A3211" s="170"/>
      <c r="B3211" s="170"/>
    </row>
    <row r="3212" spans="1:2" x14ac:dyDescent="0.25">
      <c r="A3212" s="170"/>
      <c r="B3212" s="170"/>
    </row>
    <row r="3213" spans="1:2" x14ac:dyDescent="0.25">
      <c r="A3213" s="170"/>
      <c r="B3213" s="170"/>
    </row>
    <row r="3214" spans="1:2" x14ac:dyDescent="0.25">
      <c r="A3214" s="170"/>
      <c r="B3214" s="170"/>
    </row>
    <row r="3215" spans="1:2" x14ac:dyDescent="0.25">
      <c r="A3215" s="170"/>
      <c r="B3215" s="170"/>
    </row>
    <row r="3216" spans="1:2" x14ac:dyDescent="0.25">
      <c r="A3216" s="170"/>
      <c r="B3216" s="170"/>
    </row>
    <row r="3217" spans="1:2" x14ac:dyDescent="0.25">
      <c r="A3217" s="170"/>
      <c r="B3217" s="170"/>
    </row>
    <row r="3218" spans="1:2" x14ac:dyDescent="0.25">
      <c r="A3218" s="170"/>
      <c r="B3218" s="170"/>
    </row>
    <row r="3219" spans="1:2" x14ac:dyDescent="0.25">
      <c r="A3219" s="170"/>
      <c r="B3219" s="170"/>
    </row>
    <row r="3220" spans="1:2" x14ac:dyDescent="0.25">
      <c r="A3220" s="170"/>
      <c r="B3220" s="170"/>
    </row>
    <row r="3221" spans="1:2" x14ac:dyDescent="0.25">
      <c r="A3221" s="170"/>
      <c r="B3221" s="170"/>
    </row>
    <row r="3222" spans="1:2" x14ac:dyDescent="0.25">
      <c r="A3222" s="170"/>
      <c r="B3222" s="170"/>
    </row>
    <row r="3223" spans="1:2" x14ac:dyDescent="0.25">
      <c r="A3223" s="170"/>
      <c r="B3223" s="170"/>
    </row>
    <row r="3224" spans="1:2" x14ac:dyDescent="0.25">
      <c r="A3224" s="170"/>
      <c r="B3224" s="170"/>
    </row>
    <row r="3225" spans="1:2" x14ac:dyDescent="0.25">
      <c r="A3225" s="170"/>
      <c r="B3225" s="170"/>
    </row>
    <row r="3226" spans="1:2" x14ac:dyDescent="0.25">
      <c r="A3226" s="170"/>
      <c r="B3226" s="170"/>
    </row>
    <row r="3227" spans="1:2" x14ac:dyDescent="0.25">
      <c r="A3227" s="170"/>
      <c r="B3227" s="170"/>
    </row>
    <row r="3228" spans="1:2" x14ac:dyDescent="0.25">
      <c r="A3228" s="170"/>
      <c r="B3228" s="170"/>
    </row>
    <row r="3229" spans="1:2" x14ac:dyDescent="0.25">
      <c r="A3229" s="170"/>
      <c r="B3229" s="170"/>
    </row>
    <row r="3230" spans="1:2" x14ac:dyDescent="0.25">
      <c r="A3230" s="170"/>
      <c r="B3230" s="170"/>
    </row>
    <row r="3231" spans="1:2" x14ac:dyDescent="0.25">
      <c r="A3231" s="170"/>
      <c r="B3231" s="170"/>
    </row>
    <row r="3232" spans="1:2" x14ac:dyDescent="0.25">
      <c r="A3232" s="170"/>
      <c r="B3232" s="170"/>
    </row>
    <row r="3233" spans="1:2" x14ac:dyDescent="0.25">
      <c r="A3233" s="170"/>
      <c r="B3233" s="170"/>
    </row>
    <row r="3234" spans="1:2" x14ac:dyDescent="0.25">
      <c r="A3234" s="170"/>
      <c r="B3234" s="170"/>
    </row>
    <row r="3235" spans="1:2" x14ac:dyDescent="0.25">
      <c r="A3235" s="170"/>
      <c r="B3235" s="170"/>
    </row>
    <row r="3236" spans="1:2" x14ac:dyDescent="0.25">
      <c r="A3236" s="170"/>
      <c r="B3236" s="170"/>
    </row>
    <row r="3237" spans="1:2" x14ac:dyDescent="0.25">
      <c r="A3237" s="170"/>
      <c r="B3237" s="170"/>
    </row>
    <row r="3238" spans="1:2" x14ac:dyDescent="0.25">
      <c r="A3238" s="170"/>
      <c r="B3238" s="170"/>
    </row>
    <row r="3239" spans="1:2" x14ac:dyDescent="0.25">
      <c r="A3239" s="170"/>
      <c r="B3239" s="170"/>
    </row>
    <row r="3240" spans="1:2" x14ac:dyDescent="0.25">
      <c r="A3240" s="170"/>
      <c r="B3240" s="170"/>
    </row>
    <row r="3241" spans="1:2" x14ac:dyDescent="0.25">
      <c r="A3241" s="170"/>
      <c r="B3241" s="170"/>
    </row>
    <row r="3242" spans="1:2" x14ac:dyDescent="0.25">
      <c r="A3242" s="170"/>
      <c r="B3242" s="170"/>
    </row>
    <row r="3243" spans="1:2" x14ac:dyDescent="0.25">
      <c r="A3243" s="170"/>
      <c r="B3243" s="170"/>
    </row>
    <row r="3244" spans="1:2" x14ac:dyDescent="0.25">
      <c r="A3244" s="170"/>
      <c r="B3244" s="170"/>
    </row>
    <row r="3245" spans="1:2" x14ac:dyDescent="0.25">
      <c r="A3245" s="170"/>
      <c r="B3245" s="170"/>
    </row>
    <row r="3246" spans="1:2" x14ac:dyDescent="0.25">
      <c r="A3246" s="170"/>
      <c r="B3246" s="170"/>
    </row>
    <row r="3247" spans="1:2" x14ac:dyDescent="0.25">
      <c r="A3247" s="170"/>
      <c r="B3247" s="170"/>
    </row>
    <row r="3248" spans="1:2" x14ac:dyDescent="0.25">
      <c r="A3248" s="170"/>
      <c r="B3248" s="170"/>
    </row>
    <row r="3249" spans="1:2" x14ac:dyDescent="0.25">
      <c r="A3249" s="170"/>
      <c r="B3249" s="170"/>
    </row>
    <row r="3250" spans="1:2" x14ac:dyDescent="0.25">
      <c r="A3250" s="170"/>
      <c r="B3250" s="170"/>
    </row>
    <row r="3251" spans="1:2" x14ac:dyDescent="0.25">
      <c r="A3251" s="170"/>
      <c r="B3251" s="170"/>
    </row>
    <row r="3252" spans="1:2" x14ac:dyDescent="0.25">
      <c r="A3252" s="170"/>
      <c r="B3252" s="170"/>
    </row>
    <row r="3253" spans="1:2" x14ac:dyDescent="0.25">
      <c r="A3253" s="170"/>
      <c r="B3253" s="170"/>
    </row>
    <row r="3254" spans="1:2" x14ac:dyDescent="0.25">
      <c r="A3254" s="170"/>
      <c r="B3254" s="170"/>
    </row>
    <row r="3255" spans="1:2" x14ac:dyDescent="0.25">
      <c r="A3255" s="170"/>
      <c r="B3255" s="170"/>
    </row>
    <row r="3256" spans="1:2" x14ac:dyDescent="0.25">
      <c r="A3256" s="170"/>
      <c r="B3256" s="170"/>
    </row>
    <row r="3257" spans="1:2" x14ac:dyDescent="0.25">
      <c r="A3257" s="170"/>
      <c r="B3257" s="170"/>
    </row>
    <row r="3258" spans="1:2" x14ac:dyDescent="0.25">
      <c r="A3258" s="170"/>
      <c r="B3258" s="170"/>
    </row>
    <row r="3259" spans="1:2" x14ac:dyDescent="0.25">
      <c r="A3259" s="170"/>
      <c r="B3259" s="170"/>
    </row>
    <row r="3260" spans="1:2" x14ac:dyDescent="0.25">
      <c r="A3260" s="170"/>
      <c r="B3260" s="170"/>
    </row>
    <row r="3261" spans="1:2" x14ac:dyDescent="0.25">
      <c r="A3261" s="170"/>
      <c r="B3261" s="170"/>
    </row>
    <row r="3262" spans="1:2" x14ac:dyDescent="0.25">
      <c r="A3262" s="170"/>
      <c r="B3262" s="170"/>
    </row>
    <row r="3263" spans="1:2" x14ac:dyDescent="0.25">
      <c r="A3263" s="170"/>
      <c r="B3263" s="170"/>
    </row>
    <row r="3264" spans="1:2" x14ac:dyDescent="0.25">
      <c r="A3264" s="170"/>
      <c r="B3264" s="170"/>
    </row>
    <row r="3265" spans="1:2" x14ac:dyDescent="0.25">
      <c r="A3265" s="170"/>
      <c r="B3265" s="170"/>
    </row>
    <row r="3266" spans="1:2" x14ac:dyDescent="0.25">
      <c r="A3266" s="170"/>
      <c r="B3266" s="170"/>
    </row>
    <row r="3267" spans="1:2" x14ac:dyDescent="0.25">
      <c r="A3267" s="170"/>
      <c r="B3267" s="170"/>
    </row>
    <row r="3268" spans="1:2" x14ac:dyDescent="0.25">
      <c r="A3268" s="170"/>
      <c r="B3268" s="170"/>
    </row>
    <row r="3269" spans="1:2" x14ac:dyDescent="0.25">
      <c r="A3269" s="170"/>
      <c r="B3269" s="170"/>
    </row>
    <row r="3270" spans="1:2" x14ac:dyDescent="0.25">
      <c r="A3270" s="170"/>
      <c r="B3270" s="170"/>
    </row>
    <row r="3271" spans="1:2" x14ac:dyDescent="0.25">
      <c r="A3271" s="170"/>
      <c r="B3271" s="170"/>
    </row>
    <row r="3272" spans="1:2" x14ac:dyDescent="0.25">
      <c r="A3272" s="170"/>
      <c r="B3272" s="170"/>
    </row>
    <row r="3273" spans="1:2" x14ac:dyDescent="0.25">
      <c r="A3273" s="170"/>
      <c r="B3273" s="170"/>
    </row>
    <row r="3274" spans="1:2" x14ac:dyDescent="0.25">
      <c r="A3274" s="170"/>
      <c r="B3274" s="170"/>
    </row>
    <row r="3275" spans="1:2" x14ac:dyDescent="0.25">
      <c r="A3275" s="170"/>
      <c r="B3275" s="170"/>
    </row>
    <row r="3276" spans="1:2" x14ac:dyDescent="0.25">
      <c r="A3276" s="170"/>
      <c r="B3276" s="170"/>
    </row>
    <row r="3277" spans="1:2" x14ac:dyDescent="0.25">
      <c r="A3277" s="170"/>
      <c r="B3277" s="170"/>
    </row>
    <row r="3278" spans="1:2" x14ac:dyDescent="0.25">
      <c r="A3278" s="170"/>
      <c r="B3278" s="170"/>
    </row>
    <row r="3279" spans="1:2" x14ac:dyDescent="0.25">
      <c r="A3279" s="170"/>
      <c r="B3279" s="170"/>
    </row>
    <row r="3280" spans="1:2" x14ac:dyDescent="0.25">
      <c r="A3280" s="170"/>
      <c r="B3280" s="170"/>
    </row>
    <row r="3281" spans="1:2" x14ac:dyDescent="0.25">
      <c r="A3281" s="170"/>
      <c r="B3281" s="170"/>
    </row>
    <row r="3282" spans="1:2" x14ac:dyDescent="0.25">
      <c r="A3282" s="170"/>
      <c r="B3282" s="170"/>
    </row>
    <row r="3283" spans="1:2" x14ac:dyDescent="0.25">
      <c r="A3283" s="170"/>
      <c r="B3283" s="170"/>
    </row>
    <row r="3284" spans="1:2" x14ac:dyDescent="0.25">
      <c r="A3284" s="170"/>
      <c r="B3284" s="170"/>
    </row>
    <row r="3285" spans="1:2" x14ac:dyDescent="0.25">
      <c r="A3285" s="170"/>
      <c r="B3285" s="170"/>
    </row>
    <row r="3286" spans="1:2" x14ac:dyDescent="0.25">
      <c r="A3286" s="170"/>
      <c r="B3286" s="170"/>
    </row>
    <row r="3287" spans="1:2" x14ac:dyDescent="0.25">
      <c r="A3287" s="170"/>
      <c r="B3287" s="170"/>
    </row>
    <row r="3288" spans="1:2" x14ac:dyDescent="0.25">
      <c r="A3288" s="170"/>
      <c r="B3288" s="170"/>
    </row>
    <row r="3289" spans="1:2" x14ac:dyDescent="0.25">
      <c r="A3289" s="170"/>
      <c r="B3289" s="170"/>
    </row>
    <row r="3290" spans="1:2" x14ac:dyDescent="0.25">
      <c r="A3290" s="170"/>
      <c r="B3290" s="170"/>
    </row>
    <row r="3291" spans="1:2" x14ac:dyDescent="0.25">
      <c r="A3291" s="170"/>
      <c r="B3291" s="170"/>
    </row>
    <row r="3292" spans="1:2" x14ac:dyDescent="0.25">
      <c r="A3292" s="170"/>
      <c r="B3292" s="170"/>
    </row>
    <row r="3293" spans="1:2" x14ac:dyDescent="0.25">
      <c r="A3293" s="170"/>
      <c r="B3293" s="170"/>
    </row>
    <row r="3294" spans="1:2" x14ac:dyDescent="0.25">
      <c r="A3294" s="170"/>
      <c r="B3294" s="170"/>
    </row>
    <row r="3295" spans="1:2" x14ac:dyDescent="0.25">
      <c r="A3295" s="170"/>
      <c r="B3295" s="170"/>
    </row>
    <row r="3296" spans="1:2" x14ac:dyDescent="0.25">
      <c r="A3296" s="170"/>
      <c r="B3296" s="170"/>
    </row>
    <row r="3297" spans="1:2" x14ac:dyDescent="0.25">
      <c r="A3297" s="170"/>
      <c r="B3297" s="170"/>
    </row>
    <row r="3298" spans="1:2" x14ac:dyDescent="0.25">
      <c r="A3298" s="170"/>
      <c r="B3298" s="170"/>
    </row>
    <row r="3299" spans="1:2" x14ac:dyDescent="0.25">
      <c r="A3299" s="170"/>
      <c r="B3299" s="170"/>
    </row>
    <row r="3300" spans="1:2" x14ac:dyDescent="0.25">
      <c r="A3300" s="170"/>
      <c r="B3300" s="170"/>
    </row>
    <row r="3301" spans="1:2" x14ac:dyDescent="0.25">
      <c r="A3301" s="170"/>
      <c r="B3301" s="170"/>
    </row>
    <row r="3302" spans="1:2" x14ac:dyDescent="0.25">
      <c r="A3302" s="170"/>
      <c r="B3302" s="170"/>
    </row>
    <row r="3303" spans="1:2" x14ac:dyDescent="0.25">
      <c r="A3303" s="170"/>
      <c r="B3303" s="170"/>
    </row>
    <row r="3304" spans="1:2" x14ac:dyDescent="0.25">
      <c r="A3304" s="170"/>
      <c r="B3304" s="170"/>
    </row>
    <row r="3305" spans="1:2" x14ac:dyDescent="0.25">
      <c r="A3305" s="170"/>
      <c r="B3305" s="170"/>
    </row>
    <row r="3306" spans="1:2" x14ac:dyDescent="0.25">
      <c r="A3306" s="170"/>
      <c r="B3306" s="170"/>
    </row>
    <row r="3307" spans="1:2" x14ac:dyDescent="0.25">
      <c r="A3307" s="170"/>
      <c r="B3307" s="170"/>
    </row>
    <row r="3308" spans="1:2" x14ac:dyDescent="0.25">
      <c r="A3308" s="170"/>
      <c r="B3308" s="170"/>
    </row>
    <row r="3309" spans="1:2" x14ac:dyDescent="0.25">
      <c r="A3309" s="170"/>
      <c r="B3309" s="170"/>
    </row>
    <row r="3310" spans="1:2" x14ac:dyDescent="0.25">
      <c r="A3310" s="170"/>
      <c r="B3310" s="170"/>
    </row>
    <row r="3311" spans="1:2" x14ac:dyDescent="0.25">
      <c r="A3311" s="170"/>
      <c r="B3311" s="170"/>
    </row>
    <row r="3312" spans="1:2" x14ac:dyDescent="0.25">
      <c r="A3312" s="170"/>
      <c r="B3312" s="170"/>
    </row>
    <row r="3313" spans="1:2" x14ac:dyDescent="0.25">
      <c r="A3313" s="170"/>
      <c r="B3313" s="170"/>
    </row>
    <row r="3314" spans="1:2" x14ac:dyDescent="0.25">
      <c r="A3314" s="170"/>
      <c r="B3314" s="170"/>
    </row>
    <row r="3315" spans="1:2" x14ac:dyDescent="0.25">
      <c r="A3315" s="170"/>
      <c r="B3315" s="170"/>
    </row>
    <row r="3316" spans="1:2" x14ac:dyDescent="0.25">
      <c r="A3316" s="170"/>
      <c r="B3316" s="170"/>
    </row>
    <row r="3317" spans="1:2" x14ac:dyDescent="0.25">
      <c r="A3317" s="170"/>
      <c r="B3317" s="170"/>
    </row>
    <row r="3318" spans="1:2" x14ac:dyDescent="0.25">
      <c r="A3318" s="170"/>
      <c r="B3318" s="170"/>
    </row>
    <row r="3319" spans="1:2" x14ac:dyDescent="0.25">
      <c r="A3319" s="170"/>
      <c r="B3319" s="170"/>
    </row>
    <row r="3320" spans="1:2" x14ac:dyDescent="0.25">
      <c r="A3320" s="170"/>
      <c r="B3320" s="170"/>
    </row>
    <row r="3321" spans="1:2" x14ac:dyDescent="0.25">
      <c r="A3321" s="170"/>
      <c r="B3321" s="170"/>
    </row>
    <row r="3322" spans="1:2" x14ac:dyDescent="0.25">
      <c r="A3322" s="170"/>
      <c r="B3322" s="170"/>
    </row>
    <row r="3323" spans="1:2" x14ac:dyDescent="0.25">
      <c r="A3323" s="170"/>
      <c r="B3323" s="170"/>
    </row>
    <row r="3324" spans="1:2" x14ac:dyDescent="0.25">
      <c r="A3324" s="170"/>
      <c r="B3324" s="170"/>
    </row>
    <row r="3325" spans="1:2" x14ac:dyDescent="0.25">
      <c r="A3325" s="170"/>
      <c r="B3325" s="170"/>
    </row>
    <row r="3326" spans="1:2" x14ac:dyDescent="0.25">
      <c r="A3326" s="170"/>
      <c r="B3326" s="170"/>
    </row>
    <row r="3327" spans="1:2" x14ac:dyDescent="0.25">
      <c r="A3327" s="170"/>
      <c r="B3327" s="170"/>
    </row>
    <row r="3328" spans="1:2" x14ac:dyDescent="0.25">
      <c r="A3328" s="170"/>
      <c r="B3328" s="170"/>
    </row>
    <row r="3329" spans="1:2" x14ac:dyDescent="0.25">
      <c r="A3329" s="170"/>
      <c r="B3329" s="170"/>
    </row>
    <row r="3330" spans="1:2" x14ac:dyDescent="0.25">
      <c r="A3330" s="170"/>
      <c r="B3330" s="170"/>
    </row>
    <row r="3331" spans="1:2" x14ac:dyDescent="0.25">
      <c r="A3331" s="170"/>
      <c r="B3331" s="170"/>
    </row>
    <row r="3332" spans="1:2" x14ac:dyDescent="0.25">
      <c r="A3332" s="170"/>
      <c r="B3332" s="170"/>
    </row>
    <row r="3333" spans="1:2" x14ac:dyDescent="0.25">
      <c r="A3333" s="170"/>
      <c r="B3333" s="170"/>
    </row>
    <row r="3334" spans="1:2" x14ac:dyDescent="0.25">
      <c r="A3334" s="170"/>
      <c r="B3334" s="170"/>
    </row>
    <row r="3335" spans="1:2" x14ac:dyDescent="0.25">
      <c r="A3335" s="170"/>
      <c r="B3335" s="170"/>
    </row>
    <row r="3336" spans="1:2" x14ac:dyDescent="0.25">
      <c r="A3336" s="170"/>
      <c r="B3336" s="170"/>
    </row>
    <row r="3337" spans="1:2" x14ac:dyDescent="0.25">
      <c r="A3337" s="170"/>
      <c r="B3337" s="170"/>
    </row>
    <row r="3338" spans="1:2" x14ac:dyDescent="0.25">
      <c r="A3338" s="170"/>
      <c r="B3338" s="170"/>
    </row>
    <row r="3339" spans="1:2" x14ac:dyDescent="0.25">
      <c r="A3339" s="170"/>
      <c r="B3339" s="170"/>
    </row>
    <row r="3340" spans="1:2" x14ac:dyDescent="0.25">
      <c r="A3340" s="170"/>
      <c r="B3340" s="170"/>
    </row>
    <row r="3341" spans="1:2" x14ac:dyDescent="0.25">
      <c r="A3341" s="170"/>
      <c r="B3341" s="170"/>
    </row>
    <row r="3342" spans="1:2" x14ac:dyDescent="0.25">
      <c r="A3342" s="170"/>
      <c r="B3342" s="170"/>
    </row>
    <row r="3343" spans="1:2" x14ac:dyDescent="0.25">
      <c r="A3343" s="170"/>
      <c r="B3343" s="170"/>
    </row>
    <row r="3344" spans="1:2" x14ac:dyDescent="0.25">
      <c r="A3344" s="170"/>
      <c r="B3344" s="170"/>
    </row>
    <row r="3345" spans="1:2" x14ac:dyDescent="0.25">
      <c r="A3345" s="170"/>
      <c r="B3345" s="170"/>
    </row>
    <row r="3346" spans="1:2" x14ac:dyDescent="0.25">
      <c r="A3346" s="170"/>
      <c r="B3346" s="170"/>
    </row>
    <row r="3347" spans="1:2" x14ac:dyDescent="0.25">
      <c r="A3347" s="170"/>
      <c r="B3347" s="170"/>
    </row>
    <row r="3348" spans="1:2" x14ac:dyDescent="0.25">
      <c r="A3348" s="170"/>
      <c r="B3348" s="170"/>
    </row>
    <row r="3349" spans="1:2" x14ac:dyDescent="0.25">
      <c r="A3349" s="170"/>
      <c r="B3349" s="170"/>
    </row>
    <row r="3350" spans="1:2" x14ac:dyDescent="0.25">
      <c r="A3350" s="170"/>
      <c r="B3350" s="170"/>
    </row>
    <row r="3351" spans="1:2" x14ac:dyDescent="0.25">
      <c r="A3351" s="170"/>
      <c r="B3351" s="170"/>
    </row>
    <row r="3352" spans="1:2" x14ac:dyDescent="0.25">
      <c r="A3352" s="170"/>
      <c r="B3352" s="170"/>
    </row>
    <row r="3353" spans="1:2" x14ac:dyDescent="0.25">
      <c r="A3353" s="170"/>
      <c r="B3353" s="170"/>
    </row>
    <row r="3354" spans="1:2" x14ac:dyDescent="0.25">
      <c r="A3354" s="170"/>
      <c r="B3354" s="170"/>
    </row>
    <row r="3355" spans="1:2" x14ac:dyDescent="0.25">
      <c r="A3355" s="170"/>
      <c r="B3355" s="170"/>
    </row>
    <row r="3356" spans="1:2" x14ac:dyDescent="0.25">
      <c r="A3356" s="170"/>
      <c r="B3356" s="170"/>
    </row>
    <row r="3357" spans="1:2" x14ac:dyDescent="0.25">
      <c r="A3357" s="170"/>
      <c r="B3357" s="170"/>
    </row>
    <row r="3358" spans="1:2" x14ac:dyDescent="0.25">
      <c r="A3358" s="170"/>
      <c r="B3358" s="170"/>
    </row>
    <row r="3359" spans="1:2" x14ac:dyDescent="0.25">
      <c r="A3359" s="170"/>
      <c r="B3359" s="170"/>
    </row>
    <row r="3360" spans="1:2" x14ac:dyDescent="0.25">
      <c r="A3360" s="170"/>
      <c r="B3360" s="170"/>
    </row>
    <row r="3361" spans="1:2" x14ac:dyDescent="0.25">
      <c r="A3361" s="170"/>
      <c r="B3361" s="170"/>
    </row>
    <row r="3362" spans="1:2" x14ac:dyDescent="0.25">
      <c r="A3362" s="170"/>
      <c r="B3362" s="170"/>
    </row>
    <row r="3363" spans="1:2" x14ac:dyDescent="0.25">
      <c r="A3363" s="170"/>
      <c r="B3363" s="170"/>
    </row>
    <row r="3364" spans="1:2" x14ac:dyDescent="0.25">
      <c r="A3364" s="170"/>
      <c r="B3364" s="170"/>
    </row>
    <row r="3365" spans="1:2" x14ac:dyDescent="0.25">
      <c r="A3365" s="170"/>
      <c r="B3365" s="170"/>
    </row>
    <row r="3366" spans="1:2" x14ac:dyDescent="0.25">
      <c r="A3366" s="170"/>
      <c r="B3366" s="170"/>
    </row>
    <row r="3367" spans="1:2" x14ac:dyDescent="0.25">
      <c r="A3367" s="170"/>
      <c r="B3367" s="170"/>
    </row>
    <row r="3368" spans="1:2" x14ac:dyDescent="0.25">
      <c r="A3368" s="170"/>
      <c r="B3368" s="170"/>
    </row>
    <row r="3369" spans="1:2" x14ac:dyDescent="0.25">
      <c r="A3369" s="170"/>
      <c r="B3369" s="170"/>
    </row>
    <row r="3370" spans="1:2" x14ac:dyDescent="0.25">
      <c r="A3370" s="170"/>
      <c r="B3370" s="170"/>
    </row>
    <row r="3371" spans="1:2" x14ac:dyDescent="0.25">
      <c r="A3371" s="170"/>
      <c r="B3371" s="170"/>
    </row>
    <row r="3372" spans="1:2" x14ac:dyDescent="0.25">
      <c r="A3372" s="170"/>
      <c r="B3372" s="170"/>
    </row>
    <row r="3373" spans="1:2" x14ac:dyDescent="0.25">
      <c r="A3373" s="170"/>
      <c r="B3373" s="170"/>
    </row>
    <row r="3374" spans="1:2" x14ac:dyDescent="0.25">
      <c r="A3374" s="170"/>
      <c r="B3374" s="170"/>
    </row>
    <row r="3375" spans="1:2" x14ac:dyDescent="0.25">
      <c r="A3375" s="170"/>
      <c r="B3375" s="170"/>
    </row>
    <row r="3376" spans="1:2" x14ac:dyDescent="0.25">
      <c r="A3376" s="170"/>
      <c r="B3376" s="170"/>
    </row>
    <row r="3377" spans="1:2" x14ac:dyDescent="0.25">
      <c r="A3377" s="170"/>
      <c r="B3377" s="170"/>
    </row>
    <row r="3378" spans="1:2" x14ac:dyDescent="0.25">
      <c r="A3378" s="170"/>
      <c r="B3378" s="170"/>
    </row>
    <row r="3379" spans="1:2" x14ac:dyDescent="0.25">
      <c r="A3379" s="170"/>
      <c r="B3379" s="170"/>
    </row>
    <row r="3380" spans="1:2" x14ac:dyDescent="0.25">
      <c r="A3380" s="170"/>
      <c r="B3380" s="170"/>
    </row>
    <row r="3381" spans="1:2" x14ac:dyDescent="0.25">
      <c r="A3381" s="170"/>
      <c r="B3381" s="170"/>
    </row>
    <row r="3382" spans="1:2" x14ac:dyDescent="0.25">
      <c r="A3382" s="170"/>
      <c r="B3382" s="170"/>
    </row>
    <row r="3383" spans="1:2" x14ac:dyDescent="0.25">
      <c r="A3383" s="170"/>
      <c r="B3383" s="170"/>
    </row>
    <row r="3384" spans="1:2" x14ac:dyDescent="0.25">
      <c r="A3384" s="170"/>
      <c r="B3384" s="170"/>
    </row>
    <row r="3385" spans="1:2" x14ac:dyDescent="0.25">
      <c r="A3385" s="170"/>
      <c r="B3385" s="170"/>
    </row>
    <row r="3386" spans="1:2" x14ac:dyDescent="0.25">
      <c r="A3386" s="170"/>
      <c r="B3386" s="170"/>
    </row>
    <row r="3387" spans="1:2" x14ac:dyDescent="0.25">
      <c r="A3387" s="170"/>
      <c r="B3387" s="170"/>
    </row>
    <row r="3388" spans="1:2" x14ac:dyDescent="0.25">
      <c r="A3388" s="170"/>
      <c r="B3388" s="170"/>
    </row>
    <row r="3389" spans="1:2" x14ac:dyDescent="0.25">
      <c r="A3389" s="170"/>
      <c r="B3389" s="170"/>
    </row>
    <row r="3390" spans="1:2" x14ac:dyDescent="0.25">
      <c r="A3390" s="170"/>
      <c r="B3390" s="170"/>
    </row>
    <row r="3391" spans="1:2" x14ac:dyDescent="0.25">
      <c r="A3391" s="170"/>
      <c r="B3391" s="170"/>
    </row>
    <row r="3392" spans="1:2" x14ac:dyDescent="0.25">
      <c r="A3392" s="170"/>
      <c r="B3392" s="170"/>
    </row>
    <row r="3393" spans="1:2" x14ac:dyDescent="0.25">
      <c r="A3393" s="170"/>
      <c r="B3393" s="170"/>
    </row>
    <row r="3394" spans="1:2" x14ac:dyDescent="0.25">
      <c r="A3394" s="170"/>
      <c r="B3394" s="170"/>
    </row>
    <row r="3395" spans="1:2" x14ac:dyDescent="0.25">
      <c r="A3395" s="170"/>
      <c r="B3395" s="170"/>
    </row>
    <row r="3396" spans="1:2" x14ac:dyDescent="0.25">
      <c r="A3396" s="170"/>
      <c r="B3396" s="170"/>
    </row>
    <row r="3397" spans="1:2" x14ac:dyDescent="0.25">
      <c r="A3397" s="170"/>
      <c r="B3397" s="170"/>
    </row>
    <row r="3398" spans="1:2" x14ac:dyDescent="0.25">
      <c r="A3398" s="170"/>
      <c r="B3398" s="170"/>
    </row>
    <row r="3399" spans="1:2" x14ac:dyDescent="0.25">
      <c r="A3399" s="170"/>
      <c r="B3399" s="170"/>
    </row>
    <row r="3400" spans="1:2" x14ac:dyDescent="0.25">
      <c r="A3400" s="170"/>
      <c r="B3400" s="170"/>
    </row>
    <row r="3401" spans="1:2" x14ac:dyDescent="0.25">
      <c r="A3401" s="170"/>
      <c r="B3401" s="170"/>
    </row>
    <row r="3402" spans="1:2" x14ac:dyDescent="0.25">
      <c r="A3402" s="170"/>
      <c r="B3402" s="170"/>
    </row>
    <row r="3403" spans="1:2" x14ac:dyDescent="0.25">
      <c r="A3403" s="170"/>
      <c r="B3403" s="170"/>
    </row>
    <row r="3404" spans="1:2" x14ac:dyDescent="0.25">
      <c r="A3404" s="170"/>
      <c r="B3404" s="170"/>
    </row>
    <row r="3405" spans="1:2" x14ac:dyDescent="0.25">
      <c r="A3405" s="170"/>
      <c r="B3405" s="170"/>
    </row>
    <row r="3406" spans="1:2" x14ac:dyDescent="0.25">
      <c r="A3406" s="170"/>
      <c r="B3406" s="170"/>
    </row>
    <row r="3407" spans="1:2" x14ac:dyDescent="0.25">
      <c r="A3407" s="170"/>
      <c r="B3407" s="170"/>
    </row>
    <row r="3408" spans="1:2" x14ac:dyDescent="0.25">
      <c r="A3408" s="170"/>
      <c r="B3408" s="170"/>
    </row>
    <row r="3409" spans="1:2" x14ac:dyDescent="0.25">
      <c r="A3409" s="170"/>
      <c r="B3409" s="170"/>
    </row>
    <row r="3410" spans="1:2" x14ac:dyDescent="0.25">
      <c r="A3410" s="170"/>
      <c r="B3410" s="170"/>
    </row>
    <row r="3411" spans="1:2" x14ac:dyDescent="0.25">
      <c r="A3411" s="170"/>
      <c r="B3411" s="170"/>
    </row>
    <row r="3412" spans="1:2" x14ac:dyDescent="0.25">
      <c r="A3412" s="170"/>
      <c r="B3412" s="170"/>
    </row>
    <row r="3413" spans="1:2" x14ac:dyDescent="0.25">
      <c r="A3413" s="170"/>
      <c r="B3413" s="170"/>
    </row>
    <row r="3414" spans="1:2" x14ac:dyDescent="0.25">
      <c r="A3414" s="170"/>
      <c r="B3414" s="170"/>
    </row>
    <row r="3415" spans="1:2" x14ac:dyDescent="0.25">
      <c r="A3415" s="170"/>
      <c r="B3415" s="170"/>
    </row>
    <row r="3416" spans="1:2" x14ac:dyDescent="0.25">
      <c r="A3416" s="170"/>
      <c r="B3416" s="170"/>
    </row>
    <row r="3417" spans="1:2" x14ac:dyDescent="0.25">
      <c r="A3417" s="170"/>
      <c r="B3417" s="170"/>
    </row>
    <row r="3418" spans="1:2" x14ac:dyDescent="0.25">
      <c r="A3418" s="170"/>
      <c r="B3418" s="170"/>
    </row>
    <row r="3419" spans="1:2" x14ac:dyDescent="0.25">
      <c r="A3419" s="170"/>
      <c r="B3419" s="170"/>
    </row>
    <row r="3420" spans="1:2" x14ac:dyDescent="0.25">
      <c r="A3420" s="170"/>
      <c r="B3420" s="170"/>
    </row>
    <row r="3421" spans="1:2" x14ac:dyDescent="0.25">
      <c r="A3421" s="170"/>
      <c r="B3421" s="170"/>
    </row>
    <row r="3422" spans="1:2" x14ac:dyDescent="0.25">
      <c r="A3422" s="170"/>
      <c r="B3422" s="170"/>
    </row>
    <row r="3423" spans="1:2" x14ac:dyDescent="0.25">
      <c r="A3423" s="170"/>
      <c r="B3423" s="170"/>
    </row>
    <row r="3424" spans="1:2" x14ac:dyDescent="0.25">
      <c r="A3424" s="170"/>
      <c r="B3424" s="170"/>
    </row>
    <row r="3425" spans="1:2" x14ac:dyDescent="0.25">
      <c r="A3425" s="170"/>
      <c r="B3425" s="170"/>
    </row>
    <row r="3426" spans="1:2" x14ac:dyDescent="0.25">
      <c r="A3426" s="170"/>
      <c r="B3426" s="170"/>
    </row>
    <row r="3427" spans="1:2" x14ac:dyDescent="0.25">
      <c r="A3427" s="170"/>
      <c r="B3427" s="170"/>
    </row>
    <row r="3428" spans="1:2" x14ac:dyDescent="0.25">
      <c r="A3428" s="170"/>
      <c r="B3428" s="170"/>
    </row>
    <row r="3429" spans="1:2" x14ac:dyDescent="0.25">
      <c r="A3429" s="170"/>
      <c r="B3429" s="170"/>
    </row>
    <row r="3430" spans="1:2" x14ac:dyDescent="0.25">
      <c r="A3430" s="170"/>
      <c r="B3430" s="170"/>
    </row>
    <row r="3431" spans="1:2" x14ac:dyDescent="0.25">
      <c r="A3431" s="170"/>
      <c r="B3431" s="170"/>
    </row>
    <row r="3432" spans="1:2" x14ac:dyDescent="0.25">
      <c r="A3432" s="170"/>
      <c r="B3432" s="170"/>
    </row>
    <row r="3433" spans="1:2" x14ac:dyDescent="0.25">
      <c r="A3433" s="170"/>
      <c r="B3433" s="170"/>
    </row>
    <row r="3434" spans="1:2" x14ac:dyDescent="0.25">
      <c r="A3434" s="170"/>
      <c r="B3434" s="170"/>
    </row>
    <row r="3435" spans="1:2" x14ac:dyDescent="0.25">
      <c r="A3435" s="170"/>
      <c r="B3435" s="170"/>
    </row>
    <row r="3436" spans="1:2" x14ac:dyDescent="0.25">
      <c r="A3436" s="170"/>
      <c r="B3436" s="170"/>
    </row>
    <row r="3437" spans="1:2" x14ac:dyDescent="0.25">
      <c r="A3437" s="170"/>
      <c r="B3437" s="170"/>
    </row>
    <row r="3438" spans="1:2" x14ac:dyDescent="0.25">
      <c r="A3438" s="170"/>
      <c r="B3438" s="170"/>
    </row>
    <row r="3439" spans="1:2" x14ac:dyDescent="0.25">
      <c r="A3439" s="170"/>
      <c r="B3439" s="170"/>
    </row>
    <row r="3440" spans="1:2" x14ac:dyDescent="0.25">
      <c r="A3440" s="170"/>
      <c r="B3440" s="170"/>
    </row>
    <row r="3441" spans="1:2" x14ac:dyDescent="0.25">
      <c r="A3441" s="170"/>
      <c r="B3441" s="170"/>
    </row>
    <row r="3442" spans="1:2" x14ac:dyDescent="0.25">
      <c r="A3442" s="170"/>
      <c r="B3442" s="170"/>
    </row>
    <row r="3443" spans="1:2" x14ac:dyDescent="0.25">
      <c r="A3443" s="170"/>
      <c r="B3443" s="170"/>
    </row>
    <row r="3444" spans="1:2" x14ac:dyDescent="0.25">
      <c r="A3444" s="170"/>
      <c r="B3444" s="170"/>
    </row>
    <row r="3445" spans="1:2" x14ac:dyDescent="0.25">
      <c r="A3445" s="170"/>
      <c r="B3445" s="170"/>
    </row>
    <row r="3446" spans="1:2" x14ac:dyDescent="0.25">
      <c r="A3446" s="170"/>
      <c r="B3446" s="170"/>
    </row>
    <row r="3447" spans="1:2" x14ac:dyDescent="0.25">
      <c r="A3447" s="170"/>
      <c r="B3447" s="170"/>
    </row>
    <row r="3448" spans="1:2" x14ac:dyDescent="0.25">
      <c r="A3448" s="170"/>
      <c r="B3448" s="170"/>
    </row>
    <row r="3449" spans="1:2" x14ac:dyDescent="0.25">
      <c r="A3449" s="170"/>
      <c r="B3449" s="170"/>
    </row>
    <row r="3450" spans="1:2" x14ac:dyDescent="0.25">
      <c r="A3450" s="170"/>
      <c r="B3450" s="170"/>
    </row>
    <row r="3451" spans="1:2" x14ac:dyDescent="0.25">
      <c r="A3451" s="170"/>
      <c r="B3451" s="170"/>
    </row>
    <row r="3452" spans="1:2" x14ac:dyDescent="0.25">
      <c r="A3452" s="170"/>
      <c r="B3452" s="170"/>
    </row>
    <row r="3453" spans="1:2" x14ac:dyDescent="0.25">
      <c r="A3453" s="170"/>
      <c r="B3453" s="170"/>
    </row>
    <row r="3454" spans="1:2" x14ac:dyDescent="0.25">
      <c r="A3454" s="170"/>
      <c r="B3454" s="170"/>
    </row>
    <row r="3455" spans="1:2" x14ac:dyDescent="0.25">
      <c r="A3455" s="170"/>
      <c r="B3455" s="170"/>
    </row>
    <row r="3456" spans="1:2" x14ac:dyDescent="0.25">
      <c r="A3456" s="170"/>
      <c r="B3456" s="170"/>
    </row>
    <row r="3457" spans="1:2" x14ac:dyDescent="0.25">
      <c r="A3457" s="170"/>
      <c r="B3457" s="170"/>
    </row>
    <row r="3458" spans="1:2" x14ac:dyDescent="0.25">
      <c r="A3458" s="170"/>
      <c r="B3458" s="170"/>
    </row>
    <row r="3459" spans="1:2" x14ac:dyDescent="0.25">
      <c r="A3459" s="170"/>
      <c r="B3459" s="170"/>
    </row>
    <row r="3460" spans="1:2" x14ac:dyDescent="0.25">
      <c r="A3460" s="170"/>
      <c r="B3460" s="170"/>
    </row>
    <row r="3461" spans="1:2" x14ac:dyDescent="0.25">
      <c r="A3461" s="170"/>
      <c r="B3461" s="170"/>
    </row>
    <row r="3462" spans="1:2" x14ac:dyDescent="0.25">
      <c r="A3462" s="170"/>
      <c r="B3462" s="170"/>
    </row>
    <row r="3463" spans="1:2" x14ac:dyDescent="0.25">
      <c r="A3463" s="170"/>
      <c r="B3463" s="170"/>
    </row>
    <row r="3464" spans="1:2" x14ac:dyDescent="0.25">
      <c r="A3464" s="170"/>
      <c r="B3464" s="170"/>
    </row>
    <row r="3465" spans="1:2" x14ac:dyDescent="0.25">
      <c r="A3465" s="170"/>
      <c r="B3465" s="170"/>
    </row>
    <row r="3466" spans="1:2" x14ac:dyDescent="0.25">
      <c r="A3466" s="170"/>
      <c r="B3466" s="170"/>
    </row>
    <row r="3467" spans="1:2" x14ac:dyDescent="0.25">
      <c r="A3467" s="170"/>
      <c r="B3467" s="170"/>
    </row>
    <row r="3468" spans="1:2" x14ac:dyDescent="0.25">
      <c r="A3468" s="170"/>
      <c r="B3468" s="170"/>
    </row>
    <row r="3469" spans="1:2" x14ac:dyDescent="0.25">
      <c r="A3469" s="170"/>
      <c r="B3469" s="170"/>
    </row>
    <row r="3470" spans="1:2" x14ac:dyDescent="0.25">
      <c r="A3470" s="170"/>
      <c r="B3470" s="170"/>
    </row>
    <row r="3471" spans="1:2" x14ac:dyDescent="0.25">
      <c r="A3471" s="170"/>
      <c r="B3471" s="170"/>
    </row>
    <row r="3472" spans="1:2" x14ac:dyDescent="0.25">
      <c r="A3472" s="170"/>
      <c r="B3472" s="170"/>
    </row>
    <row r="3473" spans="1:2" x14ac:dyDescent="0.25">
      <c r="A3473" s="170"/>
      <c r="B3473" s="170"/>
    </row>
    <row r="3474" spans="1:2" x14ac:dyDescent="0.25">
      <c r="A3474" s="170"/>
      <c r="B3474" s="170"/>
    </row>
    <row r="3475" spans="1:2" x14ac:dyDescent="0.25">
      <c r="A3475" s="170"/>
      <c r="B3475" s="170"/>
    </row>
    <row r="3476" spans="1:2" x14ac:dyDescent="0.25">
      <c r="A3476" s="170"/>
      <c r="B3476" s="170"/>
    </row>
    <row r="3477" spans="1:2" x14ac:dyDescent="0.25">
      <c r="A3477" s="170"/>
      <c r="B3477" s="170"/>
    </row>
    <row r="3478" spans="1:2" x14ac:dyDescent="0.25">
      <c r="A3478" s="170"/>
      <c r="B3478" s="170"/>
    </row>
    <row r="3479" spans="1:2" x14ac:dyDescent="0.25">
      <c r="A3479" s="170"/>
      <c r="B3479" s="170"/>
    </row>
    <row r="3480" spans="1:2" x14ac:dyDescent="0.25">
      <c r="A3480" s="170"/>
      <c r="B3480" s="170"/>
    </row>
    <row r="3481" spans="1:2" x14ac:dyDescent="0.25">
      <c r="A3481" s="170"/>
      <c r="B3481" s="170"/>
    </row>
    <row r="3482" spans="1:2" x14ac:dyDescent="0.25">
      <c r="A3482" s="170"/>
      <c r="B3482" s="170"/>
    </row>
    <row r="3483" spans="1:2" x14ac:dyDescent="0.25">
      <c r="A3483" s="170"/>
      <c r="B3483" s="170"/>
    </row>
    <row r="3484" spans="1:2" x14ac:dyDescent="0.25">
      <c r="A3484" s="170"/>
      <c r="B3484" s="170"/>
    </row>
    <row r="3485" spans="1:2" x14ac:dyDescent="0.25">
      <c r="A3485" s="170"/>
      <c r="B3485" s="170"/>
    </row>
    <row r="3486" spans="1:2" x14ac:dyDescent="0.25">
      <c r="A3486" s="170"/>
      <c r="B3486" s="170"/>
    </row>
    <row r="3487" spans="1:2" x14ac:dyDescent="0.25">
      <c r="A3487" s="170"/>
      <c r="B3487" s="170"/>
    </row>
    <row r="3488" spans="1:2" x14ac:dyDescent="0.25">
      <c r="A3488" s="170"/>
      <c r="B3488" s="170"/>
    </row>
    <row r="3489" spans="1:2" x14ac:dyDescent="0.25">
      <c r="A3489" s="170"/>
      <c r="B3489" s="170"/>
    </row>
    <row r="3490" spans="1:2" x14ac:dyDescent="0.25">
      <c r="A3490" s="170"/>
      <c r="B3490" s="170"/>
    </row>
    <row r="3491" spans="1:2" x14ac:dyDescent="0.25">
      <c r="A3491" s="170"/>
      <c r="B3491" s="170"/>
    </row>
    <row r="3492" spans="1:2" x14ac:dyDescent="0.25">
      <c r="A3492" s="170"/>
      <c r="B3492" s="170"/>
    </row>
    <row r="3493" spans="1:2" x14ac:dyDescent="0.25">
      <c r="A3493" s="170"/>
      <c r="B3493" s="170"/>
    </row>
    <row r="3494" spans="1:2" x14ac:dyDescent="0.25">
      <c r="A3494" s="170"/>
      <c r="B3494" s="170"/>
    </row>
    <row r="3495" spans="1:2" x14ac:dyDescent="0.25">
      <c r="A3495" s="170"/>
      <c r="B3495" s="170"/>
    </row>
    <row r="3496" spans="1:2" x14ac:dyDescent="0.25">
      <c r="A3496" s="170"/>
      <c r="B3496" s="170"/>
    </row>
    <row r="3497" spans="1:2" x14ac:dyDescent="0.25">
      <c r="A3497" s="170"/>
      <c r="B3497" s="170"/>
    </row>
    <row r="3498" spans="1:2" x14ac:dyDescent="0.25">
      <c r="A3498" s="170"/>
      <c r="B3498" s="170"/>
    </row>
    <row r="3499" spans="1:2" x14ac:dyDescent="0.25">
      <c r="A3499" s="170"/>
      <c r="B3499" s="170"/>
    </row>
    <row r="3500" spans="1:2" x14ac:dyDescent="0.25">
      <c r="A3500" s="170"/>
      <c r="B3500" s="170"/>
    </row>
    <row r="3501" spans="1:2" x14ac:dyDescent="0.25">
      <c r="A3501" s="170"/>
      <c r="B3501" s="170"/>
    </row>
    <row r="3502" spans="1:2" x14ac:dyDescent="0.25">
      <c r="A3502" s="170"/>
      <c r="B3502" s="170"/>
    </row>
    <row r="3503" spans="1:2" x14ac:dyDescent="0.25">
      <c r="A3503" s="170"/>
      <c r="B3503" s="170"/>
    </row>
    <row r="3504" spans="1:2" x14ac:dyDescent="0.25">
      <c r="A3504" s="170"/>
      <c r="B3504" s="170"/>
    </row>
    <row r="3505" spans="1:2" x14ac:dyDescent="0.25">
      <c r="A3505" s="170"/>
      <c r="B3505" s="170"/>
    </row>
    <row r="3506" spans="1:2" x14ac:dyDescent="0.25">
      <c r="A3506" s="170"/>
      <c r="B3506" s="170"/>
    </row>
    <row r="3507" spans="1:2" x14ac:dyDescent="0.25">
      <c r="A3507" s="170"/>
      <c r="B3507" s="170"/>
    </row>
    <row r="3508" spans="1:2" x14ac:dyDescent="0.25">
      <c r="A3508" s="170"/>
      <c r="B3508" s="170"/>
    </row>
    <row r="3509" spans="1:2" x14ac:dyDescent="0.25">
      <c r="A3509" s="170"/>
      <c r="B3509" s="170"/>
    </row>
    <row r="3510" spans="1:2" x14ac:dyDescent="0.25">
      <c r="A3510" s="170"/>
      <c r="B3510" s="170"/>
    </row>
    <row r="3511" spans="1:2" x14ac:dyDescent="0.25">
      <c r="A3511" s="170"/>
      <c r="B3511" s="170"/>
    </row>
    <row r="3512" spans="1:2" x14ac:dyDescent="0.25">
      <c r="A3512" s="170"/>
      <c r="B3512" s="170"/>
    </row>
    <row r="3513" spans="1:2" x14ac:dyDescent="0.25">
      <c r="A3513" s="170"/>
      <c r="B3513" s="170"/>
    </row>
    <row r="3514" spans="1:2" x14ac:dyDescent="0.25">
      <c r="A3514" s="170"/>
      <c r="B3514" s="170"/>
    </row>
    <row r="3515" spans="1:2" x14ac:dyDescent="0.25">
      <c r="A3515" s="170"/>
      <c r="B3515" s="170"/>
    </row>
    <row r="3516" spans="1:2" x14ac:dyDescent="0.25">
      <c r="A3516" s="170"/>
      <c r="B3516" s="170"/>
    </row>
    <row r="3517" spans="1:2" x14ac:dyDescent="0.25">
      <c r="A3517" s="170"/>
      <c r="B3517" s="170"/>
    </row>
    <row r="3518" spans="1:2" x14ac:dyDescent="0.25">
      <c r="A3518" s="170"/>
      <c r="B3518" s="170"/>
    </row>
    <row r="3519" spans="1:2" x14ac:dyDescent="0.25">
      <c r="A3519" s="170"/>
      <c r="B3519" s="170"/>
    </row>
    <row r="3520" spans="1:2" x14ac:dyDescent="0.25">
      <c r="A3520" s="170"/>
      <c r="B3520" s="170"/>
    </row>
    <row r="3521" spans="1:2" x14ac:dyDescent="0.25">
      <c r="A3521" s="170"/>
      <c r="B3521" s="170"/>
    </row>
    <row r="3522" spans="1:2" x14ac:dyDescent="0.25">
      <c r="A3522" s="170"/>
      <c r="B3522" s="170"/>
    </row>
    <row r="3523" spans="1:2" x14ac:dyDescent="0.25">
      <c r="A3523" s="170"/>
      <c r="B3523" s="170"/>
    </row>
    <row r="3524" spans="1:2" x14ac:dyDescent="0.25">
      <c r="A3524" s="170"/>
      <c r="B3524" s="170"/>
    </row>
    <row r="3525" spans="1:2" x14ac:dyDescent="0.25">
      <c r="A3525" s="170"/>
      <c r="B3525" s="170"/>
    </row>
    <row r="3526" spans="1:2" x14ac:dyDescent="0.25">
      <c r="A3526" s="170"/>
      <c r="B3526" s="170"/>
    </row>
    <row r="3527" spans="1:2" x14ac:dyDescent="0.25">
      <c r="A3527" s="170"/>
      <c r="B3527" s="170"/>
    </row>
    <row r="3528" spans="1:2" x14ac:dyDescent="0.25">
      <c r="A3528" s="170"/>
      <c r="B3528" s="170"/>
    </row>
    <row r="3529" spans="1:2" x14ac:dyDescent="0.25">
      <c r="A3529" s="170"/>
      <c r="B3529" s="170"/>
    </row>
    <row r="3530" spans="1:2" x14ac:dyDescent="0.25">
      <c r="A3530" s="170"/>
      <c r="B3530" s="170"/>
    </row>
    <row r="3531" spans="1:2" x14ac:dyDescent="0.25">
      <c r="A3531" s="170"/>
      <c r="B3531" s="170"/>
    </row>
    <row r="3532" spans="1:2" x14ac:dyDescent="0.25">
      <c r="A3532" s="170"/>
      <c r="B3532" s="170"/>
    </row>
    <row r="3533" spans="1:2" x14ac:dyDescent="0.25">
      <c r="A3533" s="170"/>
      <c r="B3533" s="170"/>
    </row>
    <row r="3534" spans="1:2" x14ac:dyDescent="0.25">
      <c r="A3534" s="170"/>
      <c r="B3534" s="170"/>
    </row>
    <row r="3535" spans="1:2" x14ac:dyDescent="0.25">
      <c r="A3535" s="170"/>
      <c r="B3535" s="170"/>
    </row>
    <row r="3536" spans="1:2" x14ac:dyDescent="0.25">
      <c r="A3536" s="170"/>
      <c r="B3536" s="170"/>
    </row>
    <row r="3537" spans="1:2" x14ac:dyDescent="0.25">
      <c r="A3537" s="170"/>
      <c r="B3537" s="170"/>
    </row>
    <row r="3538" spans="1:2" x14ac:dyDescent="0.25">
      <c r="A3538" s="170"/>
      <c r="B3538" s="170"/>
    </row>
    <row r="3539" spans="1:2" x14ac:dyDescent="0.25">
      <c r="A3539" s="170"/>
      <c r="B3539" s="170"/>
    </row>
    <row r="3540" spans="1:2" x14ac:dyDescent="0.25">
      <c r="A3540" s="170"/>
      <c r="B3540" s="170"/>
    </row>
    <row r="3541" spans="1:2" x14ac:dyDescent="0.25">
      <c r="A3541" s="170"/>
      <c r="B3541" s="170"/>
    </row>
    <row r="3542" spans="1:2" x14ac:dyDescent="0.25">
      <c r="A3542" s="170"/>
      <c r="B3542" s="170"/>
    </row>
    <row r="3543" spans="1:2" x14ac:dyDescent="0.25">
      <c r="A3543" s="170"/>
      <c r="B3543" s="170"/>
    </row>
    <row r="3544" spans="1:2" x14ac:dyDescent="0.25">
      <c r="A3544" s="170"/>
      <c r="B3544" s="170"/>
    </row>
    <row r="3545" spans="1:2" x14ac:dyDescent="0.25">
      <c r="A3545" s="170"/>
      <c r="B3545" s="170"/>
    </row>
    <row r="3546" spans="1:2" x14ac:dyDescent="0.25">
      <c r="A3546" s="170"/>
      <c r="B3546" s="170"/>
    </row>
    <row r="3547" spans="1:2" x14ac:dyDescent="0.25">
      <c r="A3547" s="170"/>
      <c r="B3547" s="170"/>
    </row>
    <row r="3548" spans="1:2" x14ac:dyDescent="0.25">
      <c r="A3548" s="170"/>
      <c r="B3548" s="170"/>
    </row>
    <row r="3549" spans="1:2" x14ac:dyDescent="0.25">
      <c r="A3549" s="170"/>
      <c r="B3549" s="170"/>
    </row>
    <row r="3550" spans="1:2" x14ac:dyDescent="0.25">
      <c r="A3550" s="170"/>
      <c r="B3550" s="170"/>
    </row>
    <row r="3551" spans="1:2" x14ac:dyDescent="0.25">
      <c r="A3551" s="170"/>
      <c r="B3551" s="170"/>
    </row>
    <row r="3552" spans="1:2" x14ac:dyDescent="0.25">
      <c r="A3552" s="170"/>
      <c r="B3552" s="170"/>
    </row>
    <row r="3553" spans="1:2" x14ac:dyDescent="0.25">
      <c r="A3553" s="170"/>
      <c r="B3553" s="170"/>
    </row>
    <row r="3554" spans="1:2" x14ac:dyDescent="0.25">
      <c r="A3554" s="170"/>
      <c r="B3554" s="170"/>
    </row>
    <row r="3555" spans="1:2" x14ac:dyDescent="0.25">
      <c r="A3555" s="170"/>
      <c r="B3555" s="170"/>
    </row>
    <row r="3556" spans="1:2" x14ac:dyDescent="0.25">
      <c r="A3556" s="170"/>
      <c r="B3556" s="170"/>
    </row>
    <row r="3557" spans="1:2" x14ac:dyDescent="0.25">
      <c r="A3557" s="170"/>
      <c r="B3557" s="170"/>
    </row>
    <row r="3558" spans="1:2" x14ac:dyDescent="0.25">
      <c r="A3558" s="170"/>
      <c r="B3558" s="170"/>
    </row>
    <row r="3559" spans="1:2" x14ac:dyDescent="0.25">
      <c r="A3559" s="170"/>
      <c r="B3559" s="170"/>
    </row>
    <row r="3560" spans="1:2" x14ac:dyDescent="0.25">
      <c r="A3560" s="170"/>
      <c r="B3560" s="170"/>
    </row>
    <row r="3561" spans="1:2" x14ac:dyDescent="0.25">
      <c r="A3561" s="170"/>
      <c r="B3561" s="170"/>
    </row>
    <row r="3562" spans="1:2" x14ac:dyDescent="0.25">
      <c r="A3562" s="170"/>
      <c r="B3562" s="170"/>
    </row>
    <row r="3563" spans="1:2" x14ac:dyDescent="0.25">
      <c r="A3563" s="170"/>
      <c r="B3563" s="170"/>
    </row>
    <row r="3564" spans="1:2" x14ac:dyDescent="0.25">
      <c r="A3564" s="170"/>
      <c r="B3564" s="170"/>
    </row>
    <row r="3565" spans="1:2" x14ac:dyDescent="0.25">
      <c r="A3565" s="170"/>
      <c r="B3565" s="170"/>
    </row>
    <row r="3566" spans="1:2" x14ac:dyDescent="0.25">
      <c r="A3566" s="170"/>
      <c r="B3566" s="170"/>
    </row>
    <row r="3567" spans="1:2" x14ac:dyDescent="0.25">
      <c r="A3567" s="170"/>
      <c r="B3567" s="170"/>
    </row>
    <row r="3568" spans="1:2" x14ac:dyDescent="0.25">
      <c r="A3568" s="170"/>
      <c r="B3568" s="170"/>
    </row>
    <row r="3569" spans="1:2" x14ac:dyDescent="0.25">
      <c r="A3569" s="170"/>
      <c r="B3569" s="170"/>
    </row>
    <row r="3570" spans="1:2" x14ac:dyDescent="0.25">
      <c r="A3570" s="170"/>
      <c r="B3570" s="170"/>
    </row>
    <row r="3571" spans="1:2" x14ac:dyDescent="0.25">
      <c r="A3571" s="170"/>
      <c r="B3571" s="170"/>
    </row>
    <row r="3572" spans="1:2" x14ac:dyDescent="0.25">
      <c r="A3572" s="170"/>
      <c r="B3572" s="170"/>
    </row>
    <row r="3573" spans="1:2" x14ac:dyDescent="0.25">
      <c r="A3573" s="170"/>
      <c r="B3573" s="170"/>
    </row>
    <row r="3574" spans="1:2" x14ac:dyDescent="0.25">
      <c r="A3574" s="170"/>
      <c r="B3574" s="170"/>
    </row>
    <row r="3575" spans="1:2" x14ac:dyDescent="0.25">
      <c r="A3575" s="170"/>
      <c r="B3575" s="170"/>
    </row>
    <row r="3576" spans="1:2" x14ac:dyDescent="0.25">
      <c r="A3576" s="170"/>
      <c r="B3576" s="170"/>
    </row>
    <row r="3577" spans="1:2" x14ac:dyDescent="0.25">
      <c r="A3577" s="170"/>
      <c r="B3577" s="170"/>
    </row>
    <row r="3578" spans="1:2" x14ac:dyDescent="0.25">
      <c r="A3578" s="170"/>
      <c r="B3578" s="170"/>
    </row>
    <row r="3579" spans="1:2" x14ac:dyDescent="0.25">
      <c r="A3579" s="170"/>
      <c r="B3579" s="170"/>
    </row>
    <row r="3580" spans="1:2" x14ac:dyDescent="0.25">
      <c r="A3580" s="170"/>
      <c r="B3580" s="170"/>
    </row>
    <row r="3581" spans="1:2" x14ac:dyDescent="0.25">
      <c r="A3581" s="170"/>
      <c r="B3581" s="170"/>
    </row>
    <row r="3582" spans="1:2" x14ac:dyDescent="0.25">
      <c r="A3582" s="170"/>
      <c r="B3582" s="170"/>
    </row>
    <row r="3583" spans="1:2" x14ac:dyDescent="0.25">
      <c r="A3583" s="170"/>
      <c r="B3583" s="170"/>
    </row>
    <row r="3584" spans="1:2" x14ac:dyDescent="0.25">
      <c r="A3584" s="170"/>
      <c r="B3584" s="170"/>
    </row>
    <row r="3585" spans="1:2" x14ac:dyDescent="0.25">
      <c r="A3585" s="170"/>
      <c r="B3585" s="170"/>
    </row>
    <row r="3586" spans="1:2" x14ac:dyDescent="0.25">
      <c r="A3586" s="170"/>
      <c r="B3586" s="170"/>
    </row>
    <row r="3587" spans="1:2" x14ac:dyDescent="0.25">
      <c r="A3587" s="170"/>
      <c r="B3587" s="170"/>
    </row>
    <row r="3588" spans="1:2" x14ac:dyDescent="0.25">
      <c r="A3588" s="170"/>
      <c r="B3588" s="170"/>
    </row>
    <row r="3589" spans="1:2" x14ac:dyDescent="0.25">
      <c r="A3589" s="170"/>
      <c r="B3589" s="170"/>
    </row>
    <row r="3590" spans="1:2" x14ac:dyDescent="0.25">
      <c r="A3590" s="170"/>
      <c r="B3590" s="170"/>
    </row>
    <row r="3591" spans="1:2" x14ac:dyDescent="0.25">
      <c r="A3591" s="170"/>
      <c r="B3591" s="170"/>
    </row>
    <row r="3592" spans="1:2" x14ac:dyDescent="0.25">
      <c r="A3592" s="170"/>
      <c r="B3592" s="170"/>
    </row>
    <row r="3593" spans="1:2" x14ac:dyDescent="0.25">
      <c r="A3593" s="170"/>
      <c r="B3593" s="170"/>
    </row>
    <row r="3594" spans="1:2" x14ac:dyDescent="0.25">
      <c r="A3594" s="170"/>
      <c r="B3594" s="170"/>
    </row>
    <row r="3595" spans="1:2" x14ac:dyDescent="0.25">
      <c r="A3595" s="170"/>
      <c r="B3595" s="170"/>
    </row>
    <row r="3596" spans="1:2" x14ac:dyDescent="0.25">
      <c r="A3596" s="170"/>
      <c r="B3596" s="170"/>
    </row>
    <row r="3597" spans="1:2" x14ac:dyDescent="0.25">
      <c r="A3597" s="170"/>
      <c r="B3597" s="170"/>
    </row>
    <row r="3598" spans="1:2" x14ac:dyDescent="0.25">
      <c r="A3598" s="170"/>
      <c r="B3598" s="170"/>
    </row>
    <row r="3599" spans="1:2" x14ac:dyDescent="0.25">
      <c r="A3599" s="170"/>
      <c r="B3599" s="170"/>
    </row>
    <row r="3600" spans="1:2" x14ac:dyDescent="0.25">
      <c r="A3600" s="170"/>
      <c r="B3600" s="170"/>
    </row>
    <row r="3601" spans="1:2" x14ac:dyDescent="0.25">
      <c r="A3601" s="170"/>
      <c r="B3601" s="170"/>
    </row>
    <row r="3602" spans="1:2" x14ac:dyDescent="0.25">
      <c r="A3602" s="170"/>
      <c r="B3602" s="170"/>
    </row>
    <row r="3603" spans="1:2" x14ac:dyDescent="0.25">
      <c r="A3603" s="170"/>
      <c r="B3603" s="170"/>
    </row>
    <row r="3604" spans="1:2" x14ac:dyDescent="0.25">
      <c r="A3604" s="170"/>
      <c r="B3604" s="170"/>
    </row>
    <row r="3605" spans="1:2" x14ac:dyDescent="0.25">
      <c r="A3605" s="170"/>
      <c r="B3605" s="170"/>
    </row>
    <row r="3606" spans="1:2" x14ac:dyDescent="0.25">
      <c r="A3606" s="170"/>
      <c r="B3606" s="170"/>
    </row>
    <row r="3607" spans="1:2" x14ac:dyDescent="0.25">
      <c r="A3607" s="170"/>
      <c r="B3607" s="170"/>
    </row>
    <row r="3608" spans="1:2" x14ac:dyDescent="0.25">
      <c r="A3608" s="170"/>
      <c r="B3608" s="170"/>
    </row>
    <row r="3609" spans="1:2" x14ac:dyDescent="0.25">
      <c r="A3609" s="170"/>
      <c r="B3609" s="170"/>
    </row>
    <row r="3610" spans="1:2" x14ac:dyDescent="0.25">
      <c r="A3610" s="170"/>
      <c r="B3610" s="170"/>
    </row>
    <row r="3611" spans="1:2" x14ac:dyDescent="0.25">
      <c r="A3611" s="170"/>
      <c r="B3611" s="170"/>
    </row>
    <row r="3612" spans="1:2" x14ac:dyDescent="0.25">
      <c r="A3612" s="170"/>
      <c r="B3612" s="170"/>
    </row>
    <row r="3613" spans="1:2" x14ac:dyDescent="0.25">
      <c r="A3613" s="170"/>
      <c r="B3613" s="170"/>
    </row>
    <row r="3614" spans="1:2" x14ac:dyDescent="0.25">
      <c r="A3614" s="170"/>
      <c r="B3614" s="170"/>
    </row>
    <row r="3615" spans="1:2" x14ac:dyDescent="0.25">
      <c r="A3615" s="170"/>
      <c r="B3615" s="170"/>
    </row>
    <row r="3616" spans="1:2" x14ac:dyDescent="0.25">
      <c r="A3616" s="170"/>
      <c r="B3616" s="170"/>
    </row>
    <row r="3617" spans="1:2" x14ac:dyDescent="0.25">
      <c r="A3617" s="170"/>
      <c r="B3617" s="170"/>
    </row>
    <row r="3618" spans="1:2" x14ac:dyDescent="0.25">
      <c r="A3618" s="170"/>
      <c r="B3618" s="170"/>
    </row>
    <row r="3619" spans="1:2" x14ac:dyDescent="0.25">
      <c r="A3619" s="170"/>
      <c r="B3619" s="170"/>
    </row>
    <row r="3620" spans="1:2" x14ac:dyDescent="0.25">
      <c r="A3620" s="170"/>
      <c r="B3620" s="170"/>
    </row>
    <row r="3621" spans="1:2" x14ac:dyDescent="0.25">
      <c r="A3621" s="170"/>
      <c r="B3621" s="170"/>
    </row>
    <row r="3622" spans="1:2" x14ac:dyDescent="0.25">
      <c r="A3622" s="170"/>
      <c r="B3622" s="170"/>
    </row>
    <row r="3623" spans="1:2" x14ac:dyDescent="0.25">
      <c r="A3623" s="170"/>
      <c r="B3623" s="170"/>
    </row>
    <row r="3624" spans="1:2" x14ac:dyDescent="0.25">
      <c r="A3624" s="170"/>
      <c r="B3624" s="170"/>
    </row>
    <row r="3625" spans="1:2" x14ac:dyDescent="0.25">
      <c r="A3625" s="170"/>
      <c r="B3625" s="170"/>
    </row>
    <row r="3626" spans="1:2" x14ac:dyDescent="0.25">
      <c r="A3626" s="170"/>
      <c r="B3626" s="170"/>
    </row>
    <row r="3627" spans="1:2" x14ac:dyDescent="0.25">
      <c r="A3627" s="170"/>
      <c r="B3627" s="170"/>
    </row>
    <row r="3628" spans="1:2" x14ac:dyDescent="0.25">
      <c r="A3628" s="170"/>
      <c r="B3628" s="170"/>
    </row>
    <row r="3629" spans="1:2" x14ac:dyDescent="0.25">
      <c r="A3629" s="170"/>
      <c r="B3629" s="170"/>
    </row>
    <row r="3630" spans="1:2" x14ac:dyDescent="0.25">
      <c r="A3630" s="170"/>
      <c r="B3630" s="170"/>
    </row>
    <row r="3631" spans="1:2" x14ac:dyDescent="0.25">
      <c r="A3631" s="170"/>
      <c r="B3631" s="170"/>
    </row>
    <row r="3632" spans="1:2" x14ac:dyDescent="0.25">
      <c r="A3632" s="170"/>
      <c r="B3632" s="170"/>
    </row>
    <row r="3633" spans="1:2" x14ac:dyDescent="0.25">
      <c r="A3633" s="170"/>
      <c r="B3633" s="170"/>
    </row>
    <row r="3634" spans="1:2" x14ac:dyDescent="0.25">
      <c r="A3634" s="170"/>
      <c r="B3634" s="170"/>
    </row>
    <row r="3635" spans="1:2" x14ac:dyDescent="0.25">
      <c r="A3635" s="170"/>
      <c r="B3635" s="170"/>
    </row>
    <row r="3636" spans="1:2" x14ac:dyDescent="0.25">
      <c r="A3636" s="170"/>
      <c r="B3636" s="170"/>
    </row>
    <row r="3637" spans="1:2" x14ac:dyDescent="0.25">
      <c r="A3637" s="170"/>
      <c r="B3637" s="170"/>
    </row>
    <row r="3638" spans="1:2" x14ac:dyDescent="0.25">
      <c r="A3638" s="170"/>
      <c r="B3638" s="170"/>
    </row>
    <row r="3639" spans="1:2" x14ac:dyDescent="0.25">
      <c r="A3639" s="170"/>
      <c r="B3639" s="170"/>
    </row>
    <row r="3640" spans="1:2" x14ac:dyDescent="0.25">
      <c r="A3640" s="170"/>
      <c r="B3640" s="170"/>
    </row>
    <row r="3641" spans="1:2" x14ac:dyDescent="0.25">
      <c r="A3641" s="170"/>
      <c r="B3641" s="170"/>
    </row>
    <row r="3642" spans="1:2" x14ac:dyDescent="0.25">
      <c r="A3642" s="170"/>
      <c r="B3642" s="170"/>
    </row>
    <row r="3643" spans="1:2" x14ac:dyDescent="0.25">
      <c r="A3643" s="170"/>
      <c r="B3643" s="170"/>
    </row>
    <row r="3644" spans="1:2" x14ac:dyDescent="0.25">
      <c r="A3644" s="170"/>
      <c r="B3644" s="170"/>
    </row>
    <row r="3645" spans="1:2" x14ac:dyDescent="0.25">
      <c r="A3645" s="170"/>
      <c r="B3645" s="170"/>
    </row>
    <row r="3646" spans="1:2" x14ac:dyDescent="0.25">
      <c r="A3646" s="170"/>
      <c r="B3646" s="170"/>
    </row>
    <row r="3647" spans="1:2" x14ac:dyDescent="0.25">
      <c r="A3647" s="170"/>
      <c r="B3647" s="170"/>
    </row>
    <row r="3648" spans="1:2" x14ac:dyDescent="0.25">
      <c r="A3648" s="170"/>
      <c r="B3648" s="170"/>
    </row>
    <row r="3649" spans="1:2" x14ac:dyDescent="0.25">
      <c r="A3649" s="170"/>
      <c r="B3649" s="170"/>
    </row>
    <row r="3650" spans="1:2" x14ac:dyDescent="0.25">
      <c r="A3650" s="170"/>
      <c r="B3650" s="170"/>
    </row>
    <row r="3651" spans="1:2" x14ac:dyDescent="0.25">
      <c r="A3651" s="170"/>
      <c r="B3651" s="170"/>
    </row>
    <row r="3652" spans="1:2" x14ac:dyDescent="0.25">
      <c r="A3652" s="170"/>
      <c r="B3652" s="170"/>
    </row>
    <row r="3653" spans="1:2" x14ac:dyDescent="0.25">
      <c r="A3653" s="170"/>
      <c r="B3653" s="170"/>
    </row>
    <row r="3654" spans="1:2" x14ac:dyDescent="0.25">
      <c r="A3654" s="170"/>
      <c r="B3654" s="170"/>
    </row>
    <row r="3655" spans="1:2" x14ac:dyDescent="0.25">
      <c r="A3655" s="170"/>
      <c r="B3655" s="170"/>
    </row>
    <row r="3656" spans="1:2" x14ac:dyDescent="0.25">
      <c r="A3656" s="170"/>
      <c r="B3656" s="170"/>
    </row>
    <row r="3657" spans="1:2" x14ac:dyDescent="0.25">
      <c r="A3657" s="170"/>
      <c r="B3657" s="170"/>
    </row>
    <row r="3658" spans="1:2" x14ac:dyDescent="0.25">
      <c r="A3658" s="170"/>
      <c r="B3658" s="170"/>
    </row>
    <row r="3659" spans="1:2" x14ac:dyDescent="0.25">
      <c r="A3659" s="170"/>
      <c r="B3659" s="170"/>
    </row>
    <row r="3660" spans="1:2" x14ac:dyDescent="0.25">
      <c r="A3660" s="170"/>
      <c r="B3660" s="170"/>
    </row>
    <row r="3661" spans="1:2" x14ac:dyDescent="0.25">
      <c r="A3661" s="170"/>
      <c r="B3661" s="170"/>
    </row>
    <row r="3662" spans="1:2" x14ac:dyDescent="0.25">
      <c r="A3662" s="170"/>
      <c r="B3662" s="170"/>
    </row>
    <row r="3663" spans="1:2" x14ac:dyDescent="0.25">
      <c r="A3663" s="170"/>
      <c r="B3663" s="170"/>
    </row>
    <row r="3664" spans="1:2" x14ac:dyDescent="0.25">
      <c r="A3664" s="170"/>
      <c r="B3664" s="170"/>
    </row>
    <row r="3665" spans="1:2" x14ac:dyDescent="0.25">
      <c r="A3665" s="170"/>
      <c r="B3665" s="170"/>
    </row>
    <row r="3666" spans="1:2" x14ac:dyDescent="0.25">
      <c r="A3666" s="170"/>
      <c r="B3666" s="170"/>
    </row>
    <row r="3667" spans="1:2" x14ac:dyDescent="0.25">
      <c r="A3667" s="170"/>
      <c r="B3667" s="170"/>
    </row>
    <row r="3668" spans="1:2" x14ac:dyDescent="0.25">
      <c r="A3668" s="170"/>
      <c r="B3668" s="170"/>
    </row>
    <row r="3669" spans="1:2" x14ac:dyDescent="0.25">
      <c r="A3669" s="170"/>
      <c r="B3669" s="170"/>
    </row>
    <row r="3670" spans="1:2" x14ac:dyDescent="0.25">
      <c r="A3670" s="170"/>
      <c r="B3670" s="170"/>
    </row>
    <row r="3671" spans="1:2" x14ac:dyDescent="0.25">
      <c r="A3671" s="170"/>
      <c r="B3671" s="170"/>
    </row>
    <row r="3672" spans="1:2" x14ac:dyDescent="0.25">
      <c r="A3672" s="170"/>
      <c r="B3672" s="170"/>
    </row>
    <row r="3673" spans="1:2" x14ac:dyDescent="0.25">
      <c r="A3673" s="170"/>
      <c r="B3673" s="170"/>
    </row>
    <row r="3674" spans="1:2" x14ac:dyDescent="0.25">
      <c r="A3674" s="170"/>
      <c r="B3674" s="170"/>
    </row>
    <row r="3675" spans="1:2" x14ac:dyDescent="0.25">
      <c r="A3675" s="170"/>
      <c r="B3675" s="170"/>
    </row>
    <row r="3676" spans="1:2" x14ac:dyDescent="0.25">
      <c r="A3676" s="170"/>
      <c r="B3676" s="170"/>
    </row>
    <row r="3677" spans="1:2" x14ac:dyDescent="0.25">
      <c r="A3677" s="170"/>
      <c r="B3677" s="170"/>
    </row>
    <row r="3678" spans="1:2" x14ac:dyDescent="0.25">
      <c r="A3678" s="170"/>
      <c r="B3678" s="170"/>
    </row>
    <row r="3679" spans="1:2" x14ac:dyDescent="0.25">
      <c r="A3679" s="170"/>
      <c r="B3679" s="170"/>
    </row>
    <row r="3680" spans="1:2" x14ac:dyDescent="0.25">
      <c r="A3680" s="170"/>
      <c r="B3680" s="170"/>
    </row>
    <row r="3681" spans="1:2" x14ac:dyDescent="0.25">
      <c r="A3681" s="170"/>
      <c r="B3681" s="170"/>
    </row>
    <row r="3682" spans="1:2" x14ac:dyDescent="0.25">
      <c r="A3682" s="170"/>
      <c r="B3682" s="170"/>
    </row>
    <row r="3683" spans="1:2" x14ac:dyDescent="0.25">
      <c r="A3683" s="170"/>
      <c r="B3683" s="170"/>
    </row>
    <row r="3684" spans="1:2" x14ac:dyDescent="0.25">
      <c r="A3684" s="170"/>
      <c r="B3684" s="170"/>
    </row>
    <row r="3685" spans="1:2" x14ac:dyDescent="0.25">
      <c r="A3685" s="170"/>
      <c r="B3685" s="170"/>
    </row>
    <row r="3686" spans="1:2" x14ac:dyDescent="0.25">
      <c r="A3686" s="170"/>
      <c r="B3686" s="170"/>
    </row>
    <row r="3687" spans="1:2" x14ac:dyDescent="0.25">
      <c r="A3687" s="170"/>
      <c r="B3687" s="170"/>
    </row>
    <row r="3688" spans="1:2" x14ac:dyDescent="0.25">
      <c r="A3688" s="170"/>
      <c r="B3688" s="170"/>
    </row>
    <row r="3689" spans="1:2" x14ac:dyDescent="0.25">
      <c r="A3689" s="170"/>
      <c r="B3689" s="170"/>
    </row>
    <row r="3690" spans="1:2" x14ac:dyDescent="0.25">
      <c r="A3690" s="170"/>
      <c r="B3690" s="170"/>
    </row>
    <row r="3691" spans="1:2" x14ac:dyDescent="0.25">
      <c r="A3691" s="170"/>
      <c r="B3691" s="170"/>
    </row>
    <row r="3692" spans="1:2" x14ac:dyDescent="0.25">
      <c r="A3692" s="170"/>
      <c r="B3692" s="170"/>
    </row>
    <row r="3693" spans="1:2" x14ac:dyDescent="0.25">
      <c r="A3693" s="170"/>
      <c r="B3693" s="170"/>
    </row>
    <row r="3694" spans="1:2" x14ac:dyDescent="0.25">
      <c r="A3694" s="170"/>
      <c r="B3694" s="170"/>
    </row>
    <row r="3695" spans="1:2" x14ac:dyDescent="0.25">
      <c r="A3695" s="170"/>
      <c r="B3695" s="170"/>
    </row>
    <row r="3696" spans="1:2" x14ac:dyDescent="0.25">
      <c r="A3696" s="170"/>
      <c r="B3696" s="170"/>
    </row>
    <row r="3697" spans="1:2" x14ac:dyDescent="0.25">
      <c r="A3697" s="170"/>
      <c r="B3697" s="170"/>
    </row>
    <row r="3698" spans="1:2" x14ac:dyDescent="0.25">
      <c r="A3698" s="170"/>
      <c r="B3698" s="170"/>
    </row>
    <row r="3699" spans="1:2" x14ac:dyDescent="0.25">
      <c r="A3699" s="170"/>
      <c r="B3699" s="170"/>
    </row>
    <row r="3700" spans="1:2" x14ac:dyDescent="0.25">
      <c r="A3700" s="170"/>
      <c r="B3700" s="170"/>
    </row>
    <row r="3701" spans="1:2" x14ac:dyDescent="0.25">
      <c r="A3701" s="170"/>
      <c r="B3701" s="170"/>
    </row>
    <row r="3702" spans="1:2" x14ac:dyDescent="0.25">
      <c r="A3702" s="170"/>
      <c r="B3702" s="170"/>
    </row>
    <row r="3703" spans="1:2" x14ac:dyDescent="0.25">
      <c r="A3703" s="170"/>
      <c r="B3703" s="170"/>
    </row>
    <row r="3704" spans="1:2" x14ac:dyDescent="0.25">
      <c r="A3704" s="170"/>
      <c r="B3704" s="170"/>
    </row>
    <row r="3705" spans="1:2" x14ac:dyDescent="0.25">
      <c r="A3705" s="170"/>
      <c r="B3705" s="170"/>
    </row>
    <row r="3706" spans="1:2" x14ac:dyDescent="0.25">
      <c r="A3706" s="170"/>
      <c r="B3706" s="170"/>
    </row>
    <row r="3707" spans="1:2" x14ac:dyDescent="0.25">
      <c r="A3707" s="170"/>
      <c r="B3707" s="170"/>
    </row>
    <row r="3708" spans="1:2" x14ac:dyDescent="0.25">
      <c r="A3708" s="170"/>
      <c r="B3708" s="170"/>
    </row>
    <row r="3709" spans="1:2" x14ac:dyDescent="0.25">
      <c r="A3709" s="170"/>
      <c r="B3709" s="170"/>
    </row>
    <row r="3710" spans="1:2" x14ac:dyDescent="0.25">
      <c r="A3710" s="170"/>
      <c r="B3710" s="170"/>
    </row>
    <row r="3711" spans="1:2" x14ac:dyDescent="0.25">
      <c r="A3711" s="170"/>
      <c r="B3711" s="170"/>
    </row>
    <row r="3712" spans="1:2" x14ac:dyDescent="0.25">
      <c r="A3712" s="170"/>
      <c r="B3712" s="170"/>
    </row>
    <row r="3713" spans="1:2" x14ac:dyDescent="0.25">
      <c r="A3713" s="170"/>
      <c r="B3713" s="170"/>
    </row>
    <row r="3714" spans="1:2" x14ac:dyDescent="0.25">
      <c r="A3714" s="170"/>
      <c r="B3714" s="170"/>
    </row>
    <row r="3715" spans="1:2" x14ac:dyDescent="0.25">
      <c r="A3715" s="170"/>
      <c r="B3715" s="170"/>
    </row>
    <row r="3716" spans="1:2" x14ac:dyDescent="0.25">
      <c r="A3716" s="170"/>
      <c r="B3716" s="170"/>
    </row>
    <row r="3717" spans="1:2" x14ac:dyDescent="0.25">
      <c r="A3717" s="170"/>
      <c r="B3717" s="170"/>
    </row>
    <row r="3718" spans="1:2" x14ac:dyDescent="0.25">
      <c r="A3718" s="170"/>
      <c r="B3718" s="170"/>
    </row>
    <row r="3719" spans="1:2" x14ac:dyDescent="0.25">
      <c r="A3719" s="170"/>
      <c r="B3719" s="170"/>
    </row>
    <row r="3720" spans="1:2" x14ac:dyDescent="0.25">
      <c r="A3720" s="170"/>
      <c r="B3720" s="170"/>
    </row>
    <row r="3721" spans="1:2" x14ac:dyDescent="0.25">
      <c r="A3721" s="170"/>
      <c r="B3721" s="170"/>
    </row>
    <row r="3722" spans="1:2" x14ac:dyDescent="0.25">
      <c r="A3722" s="170"/>
      <c r="B3722" s="170"/>
    </row>
    <row r="3723" spans="1:2" x14ac:dyDescent="0.25">
      <c r="A3723" s="170"/>
      <c r="B3723" s="170"/>
    </row>
    <row r="3724" spans="1:2" x14ac:dyDescent="0.25">
      <c r="A3724" s="170"/>
      <c r="B3724" s="170"/>
    </row>
    <row r="3725" spans="1:2" x14ac:dyDescent="0.25">
      <c r="A3725" s="170"/>
      <c r="B3725" s="170"/>
    </row>
    <row r="3726" spans="1:2" x14ac:dyDescent="0.25">
      <c r="A3726" s="170"/>
      <c r="B3726" s="170"/>
    </row>
    <row r="3727" spans="1:2" x14ac:dyDescent="0.25">
      <c r="A3727" s="170"/>
      <c r="B3727" s="170"/>
    </row>
    <row r="3728" spans="1:2" x14ac:dyDescent="0.25">
      <c r="A3728" s="170"/>
      <c r="B3728" s="170"/>
    </row>
    <row r="3729" spans="1:2" x14ac:dyDescent="0.25">
      <c r="A3729" s="170"/>
      <c r="B3729" s="170"/>
    </row>
    <row r="3730" spans="1:2" x14ac:dyDescent="0.25">
      <c r="A3730" s="170"/>
      <c r="B3730" s="170"/>
    </row>
    <row r="3731" spans="1:2" x14ac:dyDescent="0.25">
      <c r="A3731" s="170"/>
      <c r="B3731" s="170"/>
    </row>
    <row r="3732" spans="1:2" x14ac:dyDescent="0.25">
      <c r="A3732" s="170"/>
      <c r="B3732" s="170"/>
    </row>
    <row r="3733" spans="1:2" x14ac:dyDescent="0.25">
      <c r="A3733" s="170"/>
      <c r="B3733" s="170"/>
    </row>
    <row r="3734" spans="1:2" x14ac:dyDescent="0.25">
      <c r="A3734" s="170"/>
      <c r="B3734" s="170"/>
    </row>
    <row r="3735" spans="1:2" x14ac:dyDescent="0.25">
      <c r="A3735" s="170"/>
      <c r="B3735" s="170"/>
    </row>
    <row r="3736" spans="1:2" x14ac:dyDescent="0.25">
      <c r="A3736" s="170"/>
      <c r="B3736" s="170"/>
    </row>
    <row r="3737" spans="1:2" x14ac:dyDescent="0.25">
      <c r="A3737" s="170"/>
      <c r="B3737" s="170"/>
    </row>
    <row r="3738" spans="1:2" x14ac:dyDescent="0.25">
      <c r="A3738" s="170"/>
      <c r="B3738" s="170"/>
    </row>
    <row r="3739" spans="1:2" x14ac:dyDescent="0.25">
      <c r="A3739" s="170"/>
      <c r="B3739" s="170"/>
    </row>
    <row r="3740" spans="1:2" x14ac:dyDescent="0.25">
      <c r="A3740" s="170"/>
      <c r="B3740" s="170"/>
    </row>
    <row r="3741" spans="1:2" x14ac:dyDescent="0.25">
      <c r="A3741" s="170"/>
      <c r="B3741" s="170"/>
    </row>
    <row r="3742" spans="1:2" x14ac:dyDescent="0.25">
      <c r="A3742" s="170"/>
      <c r="B3742" s="170"/>
    </row>
    <row r="3743" spans="1:2" x14ac:dyDescent="0.25">
      <c r="A3743" s="170"/>
      <c r="B3743" s="170"/>
    </row>
    <row r="3744" spans="1:2" x14ac:dyDescent="0.25">
      <c r="A3744" s="170"/>
      <c r="B3744" s="170"/>
    </row>
    <row r="3745" spans="1:2" x14ac:dyDescent="0.25">
      <c r="A3745" s="170"/>
      <c r="B3745" s="170"/>
    </row>
    <row r="3746" spans="1:2" x14ac:dyDescent="0.25">
      <c r="A3746" s="170"/>
      <c r="B3746" s="170"/>
    </row>
    <row r="3747" spans="1:2" x14ac:dyDescent="0.25">
      <c r="A3747" s="170"/>
      <c r="B3747" s="170"/>
    </row>
    <row r="3748" spans="1:2" x14ac:dyDescent="0.25">
      <c r="A3748" s="170"/>
      <c r="B3748" s="170"/>
    </row>
    <row r="3749" spans="1:2" x14ac:dyDescent="0.25">
      <c r="A3749" s="170"/>
      <c r="B3749" s="170"/>
    </row>
    <row r="3750" spans="1:2" x14ac:dyDescent="0.25">
      <c r="A3750" s="170"/>
      <c r="B3750" s="170"/>
    </row>
    <row r="3751" spans="1:2" x14ac:dyDescent="0.25">
      <c r="A3751" s="170"/>
      <c r="B3751" s="170"/>
    </row>
    <row r="3752" spans="1:2" x14ac:dyDescent="0.25">
      <c r="A3752" s="170"/>
      <c r="B3752" s="170"/>
    </row>
    <row r="3753" spans="1:2" x14ac:dyDescent="0.25">
      <c r="A3753" s="170"/>
      <c r="B3753" s="170"/>
    </row>
    <row r="3754" spans="1:2" x14ac:dyDescent="0.25">
      <c r="A3754" s="170"/>
      <c r="B3754" s="170"/>
    </row>
    <row r="3755" spans="1:2" x14ac:dyDescent="0.25">
      <c r="A3755" s="170"/>
      <c r="B3755" s="170"/>
    </row>
    <row r="3756" spans="1:2" x14ac:dyDescent="0.25">
      <c r="A3756" s="170"/>
      <c r="B3756" s="170"/>
    </row>
    <row r="3757" spans="1:2" x14ac:dyDescent="0.25">
      <c r="A3757" s="170"/>
      <c r="B3757" s="170"/>
    </row>
    <row r="3758" spans="1:2" x14ac:dyDescent="0.25">
      <c r="A3758" s="170"/>
      <c r="B3758" s="170"/>
    </row>
    <row r="3759" spans="1:2" x14ac:dyDescent="0.25">
      <c r="A3759" s="170"/>
      <c r="B3759" s="170"/>
    </row>
    <row r="3760" spans="1:2" x14ac:dyDescent="0.25">
      <c r="A3760" s="170"/>
      <c r="B3760" s="170"/>
    </row>
    <row r="3761" spans="1:2" x14ac:dyDescent="0.25">
      <c r="A3761" s="170"/>
      <c r="B3761" s="170"/>
    </row>
    <row r="3762" spans="1:2" x14ac:dyDescent="0.25">
      <c r="A3762" s="170"/>
      <c r="B3762" s="170"/>
    </row>
    <row r="3763" spans="1:2" x14ac:dyDescent="0.25">
      <c r="A3763" s="170"/>
      <c r="B3763" s="170"/>
    </row>
    <row r="3764" spans="1:2" x14ac:dyDescent="0.25">
      <c r="A3764" s="170"/>
      <c r="B3764" s="170"/>
    </row>
    <row r="3765" spans="1:2" x14ac:dyDescent="0.25">
      <c r="A3765" s="170"/>
      <c r="B3765" s="170"/>
    </row>
    <row r="3766" spans="1:2" x14ac:dyDescent="0.25">
      <c r="A3766" s="170"/>
      <c r="B3766" s="170"/>
    </row>
    <row r="3767" spans="1:2" x14ac:dyDescent="0.25">
      <c r="A3767" s="170"/>
      <c r="B3767" s="170"/>
    </row>
    <row r="3768" spans="1:2" x14ac:dyDescent="0.25">
      <c r="A3768" s="170"/>
      <c r="B3768" s="170"/>
    </row>
    <row r="3769" spans="1:2" x14ac:dyDescent="0.25">
      <c r="A3769" s="170"/>
      <c r="B3769" s="170"/>
    </row>
    <row r="3770" spans="1:2" x14ac:dyDescent="0.25">
      <c r="A3770" s="170"/>
      <c r="B3770" s="170"/>
    </row>
    <row r="3771" spans="1:2" x14ac:dyDescent="0.25">
      <c r="A3771" s="170"/>
      <c r="B3771" s="170"/>
    </row>
    <row r="3772" spans="1:2" x14ac:dyDescent="0.25">
      <c r="A3772" s="170"/>
      <c r="B3772" s="170"/>
    </row>
    <row r="3773" spans="1:2" x14ac:dyDescent="0.25">
      <c r="A3773" s="170"/>
      <c r="B3773" s="170"/>
    </row>
    <row r="3774" spans="1:2" x14ac:dyDescent="0.25">
      <c r="A3774" s="170"/>
      <c r="B3774" s="170"/>
    </row>
    <row r="3775" spans="1:2" x14ac:dyDescent="0.25">
      <c r="A3775" s="170"/>
      <c r="B3775" s="170"/>
    </row>
    <row r="3776" spans="1:2" x14ac:dyDescent="0.25">
      <c r="A3776" s="170"/>
      <c r="B3776" s="170"/>
    </row>
    <row r="3777" spans="1:2" x14ac:dyDescent="0.25">
      <c r="A3777" s="170"/>
      <c r="B3777" s="170"/>
    </row>
    <row r="3778" spans="1:2" x14ac:dyDescent="0.25">
      <c r="A3778" s="170"/>
      <c r="B3778" s="170"/>
    </row>
    <row r="3779" spans="1:2" x14ac:dyDescent="0.25">
      <c r="A3779" s="170"/>
      <c r="B3779" s="170"/>
    </row>
    <row r="3780" spans="1:2" x14ac:dyDescent="0.25">
      <c r="A3780" s="170"/>
      <c r="B3780" s="170"/>
    </row>
    <row r="3781" spans="1:2" x14ac:dyDescent="0.25">
      <c r="A3781" s="170"/>
      <c r="B3781" s="170"/>
    </row>
    <row r="3782" spans="1:2" x14ac:dyDescent="0.25">
      <c r="A3782" s="170"/>
      <c r="B3782" s="170"/>
    </row>
    <row r="3783" spans="1:2" x14ac:dyDescent="0.25">
      <c r="A3783" s="170"/>
      <c r="B3783" s="170"/>
    </row>
    <row r="3784" spans="1:2" x14ac:dyDescent="0.25">
      <c r="A3784" s="170"/>
      <c r="B3784" s="170"/>
    </row>
    <row r="3785" spans="1:2" x14ac:dyDescent="0.25">
      <c r="A3785" s="170"/>
      <c r="B3785" s="170"/>
    </row>
    <row r="3786" spans="1:2" x14ac:dyDescent="0.25">
      <c r="A3786" s="170"/>
      <c r="B3786" s="170"/>
    </row>
    <row r="3787" spans="1:2" x14ac:dyDescent="0.25">
      <c r="A3787" s="170"/>
      <c r="B3787" s="170"/>
    </row>
    <row r="3788" spans="1:2" x14ac:dyDescent="0.25">
      <c r="A3788" s="170"/>
      <c r="B3788" s="170"/>
    </row>
    <row r="3789" spans="1:2" x14ac:dyDescent="0.25">
      <c r="A3789" s="170"/>
      <c r="B3789" s="170"/>
    </row>
    <row r="3790" spans="1:2" x14ac:dyDescent="0.25">
      <c r="A3790" s="170"/>
      <c r="B3790" s="170"/>
    </row>
    <row r="3791" spans="1:2" x14ac:dyDescent="0.25">
      <c r="A3791" s="170"/>
      <c r="B3791" s="170"/>
    </row>
    <row r="3792" spans="1:2" x14ac:dyDescent="0.25">
      <c r="A3792" s="170"/>
      <c r="B3792" s="170"/>
    </row>
    <row r="3793" spans="1:2" x14ac:dyDescent="0.25">
      <c r="A3793" s="170"/>
      <c r="B3793" s="170"/>
    </row>
    <row r="3794" spans="1:2" x14ac:dyDescent="0.25">
      <c r="A3794" s="170"/>
      <c r="B3794" s="170"/>
    </row>
    <row r="3795" spans="1:2" x14ac:dyDescent="0.25">
      <c r="A3795" s="170"/>
      <c r="B3795" s="170"/>
    </row>
    <row r="3796" spans="1:2" x14ac:dyDescent="0.25">
      <c r="A3796" s="170"/>
      <c r="B3796" s="170"/>
    </row>
    <row r="3797" spans="1:2" x14ac:dyDescent="0.25">
      <c r="A3797" s="170"/>
      <c r="B3797" s="170"/>
    </row>
    <row r="3798" spans="1:2" x14ac:dyDescent="0.25">
      <c r="A3798" s="170"/>
      <c r="B3798" s="170"/>
    </row>
    <row r="3799" spans="1:2" x14ac:dyDescent="0.25">
      <c r="A3799" s="170"/>
      <c r="B3799" s="170"/>
    </row>
    <row r="3800" spans="1:2" x14ac:dyDescent="0.25">
      <c r="A3800" s="170"/>
      <c r="B3800" s="170"/>
    </row>
    <row r="3801" spans="1:2" x14ac:dyDescent="0.25">
      <c r="A3801" s="170"/>
      <c r="B3801" s="170"/>
    </row>
    <row r="3802" spans="1:2" x14ac:dyDescent="0.25">
      <c r="A3802" s="170"/>
      <c r="B3802" s="170"/>
    </row>
    <row r="3803" spans="1:2" x14ac:dyDescent="0.25">
      <c r="A3803" s="170"/>
      <c r="B3803" s="170"/>
    </row>
    <row r="3804" spans="1:2" x14ac:dyDescent="0.25">
      <c r="A3804" s="170"/>
      <c r="B3804" s="170"/>
    </row>
    <row r="3805" spans="1:2" x14ac:dyDescent="0.25">
      <c r="A3805" s="170"/>
      <c r="B3805" s="170"/>
    </row>
    <row r="3806" spans="1:2" x14ac:dyDescent="0.25">
      <c r="A3806" s="170"/>
      <c r="B3806" s="170"/>
    </row>
    <row r="3807" spans="1:2" x14ac:dyDescent="0.25">
      <c r="A3807" s="170"/>
      <c r="B3807" s="170"/>
    </row>
    <row r="3808" spans="1:2" x14ac:dyDescent="0.25">
      <c r="A3808" s="170"/>
      <c r="B3808" s="170"/>
    </row>
    <row r="3809" spans="1:2" x14ac:dyDescent="0.25">
      <c r="A3809" s="170"/>
      <c r="B3809" s="170"/>
    </row>
    <row r="3810" spans="1:2" x14ac:dyDescent="0.25">
      <c r="A3810" s="170"/>
      <c r="B3810" s="170"/>
    </row>
    <row r="3811" spans="1:2" x14ac:dyDescent="0.25">
      <c r="A3811" s="170"/>
      <c r="B3811" s="170"/>
    </row>
    <row r="3812" spans="1:2" x14ac:dyDescent="0.25">
      <c r="A3812" s="170"/>
      <c r="B3812" s="170"/>
    </row>
    <row r="3813" spans="1:2" x14ac:dyDescent="0.25">
      <c r="A3813" s="170"/>
      <c r="B3813" s="170"/>
    </row>
    <row r="3814" spans="1:2" x14ac:dyDescent="0.25">
      <c r="A3814" s="170"/>
      <c r="B3814" s="170"/>
    </row>
    <row r="3815" spans="1:2" x14ac:dyDescent="0.25">
      <c r="A3815" s="170"/>
      <c r="B3815" s="170"/>
    </row>
    <row r="3816" spans="1:2" x14ac:dyDescent="0.25">
      <c r="A3816" s="170"/>
      <c r="B3816" s="170"/>
    </row>
    <row r="3817" spans="1:2" x14ac:dyDescent="0.25">
      <c r="A3817" s="170"/>
      <c r="B3817" s="170"/>
    </row>
    <row r="3818" spans="1:2" x14ac:dyDescent="0.25">
      <c r="A3818" s="170"/>
      <c r="B3818" s="170"/>
    </row>
    <row r="3819" spans="1:2" x14ac:dyDescent="0.25">
      <c r="A3819" s="170"/>
      <c r="B3819" s="170"/>
    </row>
    <row r="3820" spans="1:2" x14ac:dyDescent="0.25">
      <c r="A3820" s="170"/>
      <c r="B3820" s="170"/>
    </row>
    <row r="3821" spans="1:2" x14ac:dyDescent="0.25">
      <c r="A3821" s="170"/>
      <c r="B3821" s="170"/>
    </row>
    <row r="3822" spans="1:2" x14ac:dyDescent="0.25">
      <c r="A3822" s="170"/>
      <c r="B3822" s="170"/>
    </row>
    <row r="3823" spans="1:2" x14ac:dyDescent="0.25">
      <c r="A3823" s="170"/>
      <c r="B3823" s="170"/>
    </row>
    <row r="3824" spans="1:2" x14ac:dyDescent="0.25">
      <c r="A3824" s="170"/>
      <c r="B3824" s="170"/>
    </row>
    <row r="3825" spans="1:2" x14ac:dyDescent="0.25">
      <c r="A3825" s="170"/>
      <c r="B3825" s="170"/>
    </row>
    <row r="3826" spans="1:2" x14ac:dyDescent="0.25">
      <c r="A3826" s="170"/>
      <c r="B3826" s="170"/>
    </row>
    <row r="3827" spans="1:2" x14ac:dyDescent="0.25">
      <c r="A3827" s="170"/>
      <c r="B3827" s="170"/>
    </row>
    <row r="3828" spans="1:2" x14ac:dyDescent="0.25">
      <c r="A3828" s="170"/>
      <c r="B3828" s="170"/>
    </row>
    <row r="3829" spans="1:2" x14ac:dyDescent="0.25">
      <c r="A3829" s="170"/>
      <c r="B3829" s="170"/>
    </row>
    <row r="3830" spans="1:2" x14ac:dyDescent="0.25">
      <c r="A3830" s="170"/>
      <c r="B3830" s="170"/>
    </row>
    <row r="3831" spans="1:2" x14ac:dyDescent="0.25">
      <c r="A3831" s="170"/>
      <c r="B3831" s="170"/>
    </row>
    <row r="3832" spans="1:2" x14ac:dyDescent="0.25">
      <c r="A3832" s="170"/>
      <c r="B3832" s="170"/>
    </row>
    <row r="3833" spans="1:2" x14ac:dyDescent="0.25">
      <c r="A3833" s="170"/>
      <c r="B3833" s="170"/>
    </row>
    <row r="3834" spans="1:2" x14ac:dyDescent="0.25">
      <c r="A3834" s="170"/>
      <c r="B3834" s="170"/>
    </row>
    <row r="3835" spans="1:2" x14ac:dyDescent="0.25">
      <c r="A3835" s="170"/>
      <c r="B3835" s="170"/>
    </row>
    <row r="3836" spans="1:2" x14ac:dyDescent="0.25">
      <c r="A3836" s="170"/>
      <c r="B3836" s="170"/>
    </row>
    <row r="3837" spans="1:2" x14ac:dyDescent="0.25">
      <c r="A3837" s="170"/>
      <c r="B3837" s="170"/>
    </row>
    <row r="3838" spans="1:2" x14ac:dyDescent="0.25">
      <c r="A3838" s="170"/>
      <c r="B3838" s="170"/>
    </row>
    <row r="3839" spans="1:2" x14ac:dyDescent="0.25">
      <c r="A3839" s="170"/>
      <c r="B3839" s="170"/>
    </row>
    <row r="3840" spans="1:2" x14ac:dyDescent="0.25">
      <c r="A3840" s="170"/>
      <c r="B3840" s="170"/>
    </row>
    <row r="3841" spans="1:2" x14ac:dyDescent="0.25">
      <c r="A3841" s="170"/>
      <c r="B3841" s="170"/>
    </row>
    <row r="3842" spans="1:2" x14ac:dyDescent="0.25">
      <c r="A3842" s="170"/>
      <c r="B3842" s="170"/>
    </row>
    <row r="3843" spans="1:2" x14ac:dyDescent="0.25">
      <c r="A3843" s="170"/>
      <c r="B3843" s="170"/>
    </row>
    <row r="3844" spans="1:2" x14ac:dyDescent="0.25">
      <c r="A3844" s="170"/>
      <c r="B3844" s="170"/>
    </row>
    <row r="3845" spans="1:2" x14ac:dyDescent="0.25">
      <c r="A3845" s="170"/>
      <c r="B3845" s="170"/>
    </row>
    <row r="3846" spans="1:2" x14ac:dyDescent="0.25">
      <c r="A3846" s="170"/>
      <c r="B3846" s="170"/>
    </row>
    <row r="3847" spans="1:2" x14ac:dyDescent="0.25">
      <c r="A3847" s="170"/>
      <c r="B3847" s="170"/>
    </row>
    <row r="3848" spans="1:2" x14ac:dyDescent="0.25">
      <c r="A3848" s="170"/>
      <c r="B3848" s="170"/>
    </row>
    <row r="3849" spans="1:2" x14ac:dyDescent="0.25">
      <c r="A3849" s="170"/>
      <c r="B3849" s="170"/>
    </row>
    <row r="3850" spans="1:2" x14ac:dyDescent="0.25">
      <c r="A3850" s="170"/>
      <c r="B3850" s="170"/>
    </row>
    <row r="3851" spans="1:2" x14ac:dyDescent="0.25">
      <c r="A3851" s="170"/>
      <c r="B3851" s="170"/>
    </row>
    <row r="3852" spans="1:2" x14ac:dyDescent="0.25">
      <c r="A3852" s="170"/>
      <c r="B3852" s="170"/>
    </row>
    <row r="3853" spans="1:2" x14ac:dyDescent="0.25">
      <c r="A3853" s="170"/>
      <c r="B3853" s="170"/>
    </row>
    <row r="3854" spans="1:2" x14ac:dyDescent="0.25">
      <c r="A3854" s="170"/>
      <c r="B3854" s="170"/>
    </row>
    <row r="3855" spans="1:2" x14ac:dyDescent="0.25">
      <c r="A3855" s="170"/>
      <c r="B3855" s="170"/>
    </row>
    <row r="3856" spans="1:2" x14ac:dyDescent="0.25">
      <c r="A3856" s="170"/>
      <c r="B3856" s="170"/>
    </row>
    <row r="3857" spans="1:2" x14ac:dyDescent="0.25">
      <c r="A3857" s="170"/>
      <c r="B3857" s="170"/>
    </row>
    <row r="3858" spans="1:2" x14ac:dyDescent="0.25">
      <c r="A3858" s="170"/>
      <c r="B3858" s="170"/>
    </row>
    <row r="3859" spans="1:2" x14ac:dyDescent="0.25">
      <c r="A3859" s="170"/>
      <c r="B3859" s="170"/>
    </row>
    <row r="3860" spans="1:2" x14ac:dyDescent="0.25">
      <c r="A3860" s="170"/>
      <c r="B3860" s="170"/>
    </row>
    <row r="3861" spans="1:2" x14ac:dyDescent="0.25">
      <c r="A3861" s="170"/>
      <c r="B3861" s="170"/>
    </row>
    <row r="3862" spans="1:2" x14ac:dyDescent="0.25">
      <c r="A3862" s="170"/>
      <c r="B3862" s="170"/>
    </row>
    <row r="3863" spans="1:2" x14ac:dyDescent="0.25">
      <c r="A3863" s="170"/>
      <c r="B3863" s="170"/>
    </row>
    <row r="3864" spans="1:2" x14ac:dyDescent="0.25">
      <c r="A3864" s="170"/>
      <c r="B3864" s="170"/>
    </row>
    <row r="3865" spans="1:2" x14ac:dyDescent="0.25">
      <c r="A3865" s="170"/>
      <c r="B3865" s="170"/>
    </row>
    <row r="3866" spans="1:2" x14ac:dyDescent="0.25">
      <c r="A3866" s="170"/>
      <c r="B3866" s="170"/>
    </row>
    <row r="3867" spans="1:2" x14ac:dyDescent="0.25">
      <c r="A3867" s="170"/>
      <c r="B3867" s="170"/>
    </row>
    <row r="3868" spans="1:2" x14ac:dyDescent="0.25">
      <c r="A3868" s="170"/>
      <c r="B3868" s="170"/>
    </row>
    <row r="3869" spans="1:2" x14ac:dyDescent="0.25">
      <c r="A3869" s="170"/>
      <c r="B3869" s="170"/>
    </row>
    <row r="3870" spans="1:2" x14ac:dyDescent="0.25">
      <c r="A3870" s="170"/>
      <c r="B3870" s="170"/>
    </row>
    <row r="3871" spans="1:2" x14ac:dyDescent="0.25">
      <c r="A3871" s="170"/>
      <c r="B3871" s="170"/>
    </row>
    <row r="3872" spans="1:2" x14ac:dyDescent="0.25">
      <c r="A3872" s="170"/>
      <c r="B3872" s="170"/>
    </row>
    <row r="3873" spans="1:2" x14ac:dyDescent="0.25">
      <c r="A3873" s="170"/>
      <c r="B3873" s="170"/>
    </row>
    <row r="3874" spans="1:2" x14ac:dyDescent="0.25">
      <c r="A3874" s="170"/>
      <c r="B3874" s="170"/>
    </row>
    <row r="3875" spans="1:2" x14ac:dyDescent="0.25">
      <c r="A3875" s="170"/>
      <c r="B3875" s="170"/>
    </row>
    <row r="3876" spans="1:2" x14ac:dyDescent="0.25">
      <c r="A3876" s="170"/>
      <c r="B3876" s="170"/>
    </row>
    <row r="3877" spans="1:2" x14ac:dyDescent="0.25">
      <c r="A3877" s="170"/>
      <c r="B3877" s="170"/>
    </row>
    <row r="3878" spans="1:2" x14ac:dyDescent="0.25">
      <c r="A3878" s="170"/>
      <c r="B3878" s="170"/>
    </row>
    <row r="3879" spans="1:2" x14ac:dyDescent="0.25">
      <c r="A3879" s="170"/>
      <c r="B3879" s="170"/>
    </row>
    <row r="3880" spans="1:2" x14ac:dyDescent="0.25">
      <c r="A3880" s="170"/>
      <c r="B3880" s="170"/>
    </row>
    <row r="3881" spans="1:2" x14ac:dyDescent="0.25">
      <c r="A3881" s="170"/>
      <c r="B3881" s="170"/>
    </row>
    <row r="3882" spans="1:2" x14ac:dyDescent="0.25">
      <c r="A3882" s="170"/>
      <c r="B3882" s="170"/>
    </row>
    <row r="3883" spans="1:2" x14ac:dyDescent="0.25">
      <c r="A3883" s="170"/>
      <c r="B3883" s="170"/>
    </row>
    <row r="3884" spans="1:2" x14ac:dyDescent="0.25">
      <c r="A3884" s="170"/>
      <c r="B3884" s="170"/>
    </row>
    <row r="3885" spans="1:2" x14ac:dyDescent="0.25">
      <c r="A3885" s="170"/>
      <c r="B3885" s="170"/>
    </row>
    <row r="3886" spans="1:2" x14ac:dyDescent="0.25">
      <c r="A3886" s="170"/>
      <c r="B3886" s="170"/>
    </row>
    <row r="3887" spans="1:2" x14ac:dyDescent="0.25">
      <c r="A3887" s="170"/>
      <c r="B3887" s="170"/>
    </row>
    <row r="3888" spans="1:2" x14ac:dyDescent="0.25">
      <c r="A3888" s="170"/>
      <c r="B3888" s="170"/>
    </row>
    <row r="3889" spans="1:2" x14ac:dyDescent="0.25">
      <c r="A3889" s="170"/>
      <c r="B3889" s="170"/>
    </row>
    <row r="3890" spans="1:2" x14ac:dyDescent="0.25">
      <c r="A3890" s="170"/>
      <c r="B3890" s="170"/>
    </row>
    <row r="3891" spans="1:2" x14ac:dyDescent="0.25">
      <c r="A3891" s="170"/>
      <c r="B3891" s="170"/>
    </row>
    <row r="3892" spans="1:2" x14ac:dyDescent="0.25">
      <c r="A3892" s="170"/>
      <c r="B3892" s="170"/>
    </row>
    <row r="3893" spans="1:2" x14ac:dyDescent="0.25">
      <c r="A3893" s="170"/>
      <c r="B3893" s="170"/>
    </row>
    <row r="3894" spans="1:2" x14ac:dyDescent="0.25">
      <c r="A3894" s="170"/>
      <c r="B3894" s="170"/>
    </row>
    <row r="3895" spans="1:2" x14ac:dyDescent="0.25">
      <c r="A3895" s="170"/>
      <c r="B3895" s="170"/>
    </row>
    <row r="3896" spans="1:2" x14ac:dyDescent="0.25">
      <c r="A3896" s="170"/>
      <c r="B3896" s="170"/>
    </row>
    <row r="3897" spans="1:2" x14ac:dyDescent="0.25">
      <c r="A3897" s="170"/>
      <c r="B3897" s="170"/>
    </row>
    <row r="3898" spans="1:2" x14ac:dyDescent="0.25">
      <c r="A3898" s="170"/>
      <c r="B3898" s="170"/>
    </row>
    <row r="3899" spans="1:2" x14ac:dyDescent="0.25">
      <c r="A3899" s="170"/>
      <c r="B3899" s="170"/>
    </row>
    <row r="3900" spans="1:2" x14ac:dyDescent="0.25">
      <c r="A3900" s="170"/>
      <c r="B3900" s="170"/>
    </row>
    <row r="3901" spans="1:2" x14ac:dyDescent="0.25">
      <c r="A3901" s="170"/>
      <c r="B3901" s="170"/>
    </row>
    <row r="3902" spans="1:2" x14ac:dyDescent="0.25">
      <c r="A3902" s="170"/>
      <c r="B3902" s="170"/>
    </row>
    <row r="3903" spans="1:2" x14ac:dyDescent="0.25">
      <c r="A3903" s="170"/>
      <c r="B3903" s="170"/>
    </row>
    <row r="3904" spans="1:2" x14ac:dyDescent="0.25">
      <c r="A3904" s="170"/>
      <c r="B3904" s="170"/>
    </row>
    <row r="3905" spans="1:2" x14ac:dyDescent="0.25">
      <c r="A3905" s="170"/>
      <c r="B3905" s="170"/>
    </row>
    <row r="3906" spans="1:2" x14ac:dyDescent="0.25">
      <c r="A3906" s="170"/>
      <c r="B3906" s="170"/>
    </row>
    <row r="3907" spans="1:2" x14ac:dyDescent="0.25">
      <c r="A3907" s="170"/>
      <c r="B3907" s="170"/>
    </row>
    <row r="3908" spans="1:2" x14ac:dyDescent="0.25">
      <c r="A3908" s="170"/>
      <c r="B3908" s="170"/>
    </row>
    <row r="3909" spans="1:2" x14ac:dyDescent="0.25">
      <c r="A3909" s="170"/>
      <c r="B3909" s="170"/>
    </row>
    <row r="3910" spans="1:2" x14ac:dyDescent="0.25">
      <c r="A3910" s="170"/>
      <c r="B3910" s="170"/>
    </row>
    <row r="3911" spans="1:2" x14ac:dyDescent="0.25">
      <c r="A3911" s="170"/>
      <c r="B3911" s="170"/>
    </row>
    <row r="3912" spans="1:2" x14ac:dyDescent="0.25">
      <c r="A3912" s="170"/>
      <c r="B3912" s="170"/>
    </row>
    <row r="3913" spans="1:2" x14ac:dyDescent="0.25">
      <c r="A3913" s="170"/>
      <c r="B3913" s="170"/>
    </row>
    <row r="3914" spans="1:2" x14ac:dyDescent="0.25">
      <c r="A3914" s="170"/>
      <c r="B3914" s="170"/>
    </row>
    <row r="3915" spans="1:2" x14ac:dyDescent="0.25">
      <c r="A3915" s="170"/>
      <c r="B3915" s="170"/>
    </row>
    <row r="3916" spans="1:2" x14ac:dyDescent="0.25">
      <c r="A3916" s="170"/>
      <c r="B3916" s="170"/>
    </row>
    <row r="3917" spans="1:2" x14ac:dyDescent="0.25">
      <c r="A3917" s="170"/>
      <c r="B3917" s="170"/>
    </row>
    <row r="3918" spans="1:2" x14ac:dyDescent="0.25">
      <c r="A3918" s="170"/>
      <c r="B3918" s="170"/>
    </row>
    <row r="3919" spans="1:2" x14ac:dyDescent="0.25">
      <c r="A3919" s="170"/>
      <c r="B3919" s="170"/>
    </row>
    <row r="3920" spans="1:2" x14ac:dyDescent="0.25">
      <c r="A3920" s="170"/>
      <c r="B3920" s="170"/>
    </row>
    <row r="3921" spans="1:2" x14ac:dyDescent="0.25">
      <c r="A3921" s="170"/>
      <c r="B3921" s="170"/>
    </row>
    <row r="3922" spans="1:2" x14ac:dyDescent="0.25">
      <c r="A3922" s="170"/>
      <c r="B3922" s="170"/>
    </row>
    <row r="3923" spans="1:2" x14ac:dyDescent="0.25">
      <c r="A3923" s="170"/>
      <c r="B3923" s="170"/>
    </row>
    <row r="3924" spans="1:2" x14ac:dyDescent="0.25">
      <c r="A3924" s="170"/>
      <c r="B3924" s="170"/>
    </row>
    <row r="3925" spans="1:2" x14ac:dyDescent="0.25">
      <c r="A3925" s="170"/>
      <c r="B3925" s="170"/>
    </row>
    <row r="3926" spans="1:2" x14ac:dyDescent="0.25">
      <c r="A3926" s="170"/>
      <c r="B3926" s="170"/>
    </row>
    <row r="3927" spans="1:2" x14ac:dyDescent="0.25">
      <c r="A3927" s="170"/>
      <c r="B3927" s="170"/>
    </row>
    <row r="3928" spans="1:2" x14ac:dyDescent="0.25">
      <c r="A3928" s="170"/>
      <c r="B3928" s="170"/>
    </row>
    <row r="3929" spans="1:2" x14ac:dyDescent="0.25">
      <c r="A3929" s="170"/>
      <c r="B3929" s="170"/>
    </row>
    <row r="3930" spans="1:2" x14ac:dyDescent="0.25">
      <c r="A3930" s="170"/>
      <c r="B3930" s="170"/>
    </row>
    <row r="3931" spans="1:2" x14ac:dyDescent="0.25">
      <c r="A3931" s="170"/>
      <c r="B3931" s="170"/>
    </row>
    <row r="3932" spans="1:2" x14ac:dyDescent="0.25">
      <c r="A3932" s="170"/>
      <c r="B3932" s="170"/>
    </row>
    <row r="3933" spans="1:2" x14ac:dyDescent="0.25">
      <c r="A3933" s="170"/>
      <c r="B3933" s="170"/>
    </row>
    <row r="3934" spans="1:2" x14ac:dyDescent="0.25">
      <c r="A3934" s="170"/>
      <c r="B3934" s="170"/>
    </row>
    <row r="3935" spans="1:2" x14ac:dyDescent="0.25">
      <c r="A3935" s="170"/>
      <c r="B3935" s="170"/>
    </row>
    <row r="3936" spans="1:2" x14ac:dyDescent="0.25">
      <c r="A3936" s="170"/>
      <c r="B3936" s="170"/>
    </row>
    <row r="3937" spans="1:2" x14ac:dyDescent="0.25">
      <c r="A3937" s="170"/>
      <c r="B3937" s="170"/>
    </row>
    <row r="3938" spans="1:2" x14ac:dyDescent="0.25">
      <c r="A3938" s="170"/>
      <c r="B3938" s="170"/>
    </row>
    <row r="3939" spans="1:2" x14ac:dyDescent="0.25">
      <c r="A3939" s="170"/>
      <c r="B3939" s="170"/>
    </row>
    <row r="3940" spans="1:2" x14ac:dyDescent="0.25">
      <c r="A3940" s="170"/>
      <c r="B3940" s="170"/>
    </row>
    <row r="3941" spans="1:2" x14ac:dyDescent="0.25">
      <c r="A3941" s="170"/>
      <c r="B3941" s="170"/>
    </row>
    <row r="3942" spans="1:2" x14ac:dyDescent="0.25">
      <c r="A3942" s="170"/>
      <c r="B3942" s="170"/>
    </row>
    <row r="3943" spans="1:2" x14ac:dyDescent="0.25">
      <c r="A3943" s="170"/>
      <c r="B3943" s="170"/>
    </row>
    <row r="3944" spans="1:2" x14ac:dyDescent="0.25">
      <c r="A3944" s="170"/>
      <c r="B3944" s="170"/>
    </row>
    <row r="3945" spans="1:2" x14ac:dyDescent="0.25">
      <c r="A3945" s="170"/>
      <c r="B3945" s="170"/>
    </row>
    <row r="3946" spans="1:2" x14ac:dyDescent="0.25">
      <c r="A3946" s="170"/>
      <c r="B3946" s="170"/>
    </row>
    <row r="3947" spans="1:2" x14ac:dyDescent="0.25">
      <c r="A3947" s="170"/>
      <c r="B3947" s="170"/>
    </row>
    <row r="3948" spans="1:2" x14ac:dyDescent="0.25">
      <c r="A3948" s="170"/>
      <c r="B3948" s="170"/>
    </row>
    <row r="3949" spans="1:2" x14ac:dyDescent="0.25">
      <c r="A3949" s="170"/>
      <c r="B3949" s="170"/>
    </row>
    <row r="3950" spans="1:2" x14ac:dyDescent="0.25">
      <c r="A3950" s="170"/>
      <c r="B3950" s="170"/>
    </row>
    <row r="3951" spans="1:2" x14ac:dyDescent="0.25">
      <c r="A3951" s="170"/>
      <c r="B3951" s="170"/>
    </row>
    <row r="3952" spans="1:2" x14ac:dyDescent="0.25">
      <c r="A3952" s="170"/>
      <c r="B3952" s="170"/>
    </row>
    <row r="3953" spans="1:2" x14ac:dyDescent="0.25">
      <c r="A3953" s="170"/>
      <c r="B3953" s="170"/>
    </row>
    <row r="3954" spans="1:2" x14ac:dyDescent="0.25">
      <c r="A3954" s="170"/>
      <c r="B3954" s="170"/>
    </row>
    <row r="3955" spans="1:2" x14ac:dyDescent="0.25">
      <c r="A3955" s="170"/>
      <c r="B3955" s="170"/>
    </row>
    <row r="3956" spans="1:2" x14ac:dyDescent="0.25">
      <c r="A3956" s="170"/>
      <c r="B3956" s="170"/>
    </row>
    <row r="3957" spans="1:2" x14ac:dyDescent="0.25">
      <c r="A3957" s="170"/>
      <c r="B3957" s="170"/>
    </row>
    <row r="3958" spans="1:2" x14ac:dyDescent="0.25">
      <c r="A3958" s="170"/>
      <c r="B3958" s="170"/>
    </row>
    <row r="3959" spans="1:2" x14ac:dyDescent="0.25">
      <c r="A3959" s="170"/>
      <c r="B3959" s="170"/>
    </row>
    <row r="3960" spans="1:2" x14ac:dyDescent="0.25">
      <c r="A3960" s="170"/>
      <c r="B3960" s="170"/>
    </row>
    <row r="3961" spans="1:2" x14ac:dyDescent="0.25">
      <c r="A3961" s="170"/>
      <c r="B3961" s="170"/>
    </row>
    <row r="3962" spans="1:2" x14ac:dyDescent="0.25">
      <c r="A3962" s="170"/>
      <c r="B3962" s="170"/>
    </row>
    <row r="3963" spans="1:2" x14ac:dyDescent="0.25">
      <c r="A3963" s="170"/>
      <c r="B3963" s="170"/>
    </row>
    <row r="3964" spans="1:2" x14ac:dyDescent="0.25">
      <c r="A3964" s="170"/>
      <c r="B3964" s="170"/>
    </row>
    <row r="3965" spans="1:2" x14ac:dyDescent="0.25">
      <c r="A3965" s="170"/>
      <c r="B3965" s="170"/>
    </row>
    <row r="3966" spans="1:2" x14ac:dyDescent="0.25">
      <c r="A3966" s="170"/>
      <c r="B3966" s="170"/>
    </row>
    <row r="3967" spans="1:2" x14ac:dyDescent="0.25">
      <c r="A3967" s="170"/>
      <c r="B3967" s="170"/>
    </row>
    <row r="3968" spans="1:2" x14ac:dyDescent="0.25">
      <c r="A3968" s="170"/>
      <c r="B3968" s="170"/>
    </row>
    <row r="3969" spans="1:2" x14ac:dyDescent="0.25">
      <c r="A3969" s="170"/>
      <c r="B3969" s="170"/>
    </row>
    <row r="3970" spans="1:2" x14ac:dyDescent="0.25">
      <c r="A3970" s="170"/>
      <c r="B3970" s="170"/>
    </row>
    <row r="3971" spans="1:2" x14ac:dyDescent="0.25">
      <c r="A3971" s="170"/>
      <c r="B3971" s="170"/>
    </row>
    <row r="3972" spans="1:2" x14ac:dyDescent="0.25">
      <c r="A3972" s="170"/>
      <c r="B3972" s="170"/>
    </row>
    <row r="3973" spans="1:2" x14ac:dyDescent="0.25">
      <c r="A3973" s="170"/>
      <c r="B3973" s="170"/>
    </row>
    <row r="3974" spans="1:2" x14ac:dyDescent="0.25">
      <c r="A3974" s="170"/>
      <c r="B3974" s="170"/>
    </row>
    <row r="3975" spans="1:2" x14ac:dyDescent="0.25">
      <c r="A3975" s="170"/>
      <c r="B3975" s="170"/>
    </row>
    <row r="3976" spans="1:2" x14ac:dyDescent="0.25">
      <c r="A3976" s="170"/>
      <c r="B3976" s="170"/>
    </row>
    <row r="3977" spans="1:2" x14ac:dyDescent="0.25">
      <c r="A3977" s="170"/>
      <c r="B3977" s="170"/>
    </row>
    <row r="3978" spans="1:2" x14ac:dyDescent="0.25">
      <c r="A3978" s="170"/>
      <c r="B3978" s="170"/>
    </row>
    <row r="3979" spans="1:2" x14ac:dyDescent="0.25">
      <c r="A3979" s="170"/>
      <c r="B3979" s="170"/>
    </row>
    <row r="3980" spans="1:2" x14ac:dyDescent="0.25">
      <c r="A3980" s="170"/>
      <c r="B3980" s="170"/>
    </row>
    <row r="3981" spans="1:2" x14ac:dyDescent="0.25">
      <c r="A3981" s="170"/>
      <c r="B3981" s="170"/>
    </row>
    <row r="3982" spans="1:2" x14ac:dyDescent="0.25">
      <c r="A3982" s="170"/>
      <c r="B3982" s="170"/>
    </row>
    <row r="3983" spans="1:2" x14ac:dyDescent="0.25">
      <c r="A3983" s="170"/>
      <c r="B3983" s="170"/>
    </row>
    <row r="3984" spans="1:2" x14ac:dyDescent="0.25">
      <c r="A3984" s="170"/>
      <c r="B3984" s="170"/>
    </row>
    <row r="3985" spans="1:2" x14ac:dyDescent="0.25">
      <c r="A3985" s="170"/>
      <c r="B3985" s="170"/>
    </row>
    <row r="3986" spans="1:2" x14ac:dyDescent="0.25">
      <c r="A3986" s="170"/>
      <c r="B3986" s="170"/>
    </row>
    <row r="3987" spans="1:2" x14ac:dyDescent="0.25">
      <c r="A3987" s="170"/>
      <c r="B3987" s="170"/>
    </row>
    <row r="3988" spans="1:2" x14ac:dyDescent="0.25">
      <c r="A3988" s="170"/>
      <c r="B3988" s="170"/>
    </row>
    <row r="3989" spans="1:2" x14ac:dyDescent="0.25">
      <c r="A3989" s="170"/>
      <c r="B3989" s="170"/>
    </row>
    <row r="3990" spans="1:2" x14ac:dyDescent="0.25">
      <c r="A3990" s="170"/>
      <c r="B3990" s="170"/>
    </row>
    <row r="3991" spans="1:2" x14ac:dyDescent="0.25">
      <c r="A3991" s="170"/>
      <c r="B3991" s="170"/>
    </row>
    <row r="3992" spans="1:2" x14ac:dyDescent="0.25">
      <c r="A3992" s="170"/>
      <c r="B3992" s="170"/>
    </row>
    <row r="3993" spans="1:2" x14ac:dyDescent="0.25">
      <c r="A3993" s="170"/>
      <c r="B3993" s="170"/>
    </row>
    <row r="3994" spans="1:2" x14ac:dyDescent="0.25">
      <c r="A3994" s="170"/>
      <c r="B3994" s="170"/>
    </row>
    <row r="3995" spans="1:2" x14ac:dyDescent="0.25">
      <c r="A3995" s="170"/>
      <c r="B3995" s="170"/>
    </row>
    <row r="3996" spans="1:2" x14ac:dyDescent="0.25">
      <c r="A3996" s="170"/>
      <c r="B3996" s="170"/>
    </row>
    <row r="3997" spans="1:2" x14ac:dyDescent="0.25">
      <c r="A3997" s="170"/>
      <c r="B3997" s="170"/>
    </row>
    <row r="3998" spans="1:2" x14ac:dyDescent="0.25">
      <c r="A3998" s="170"/>
      <c r="B3998" s="170"/>
    </row>
    <row r="3999" spans="1:2" x14ac:dyDescent="0.25">
      <c r="A3999" s="170"/>
      <c r="B3999" s="170"/>
    </row>
    <row r="4000" spans="1:2" x14ac:dyDescent="0.25">
      <c r="A4000" s="170"/>
      <c r="B4000" s="170"/>
    </row>
    <row r="4001" spans="1:2" x14ac:dyDescent="0.25">
      <c r="A4001" s="170"/>
      <c r="B4001" s="170"/>
    </row>
    <row r="4002" spans="1:2" x14ac:dyDescent="0.25">
      <c r="A4002" s="170"/>
      <c r="B4002" s="170"/>
    </row>
    <row r="4003" spans="1:2" x14ac:dyDescent="0.25">
      <c r="A4003" s="170"/>
      <c r="B4003" s="170"/>
    </row>
    <row r="4004" spans="1:2" x14ac:dyDescent="0.25">
      <c r="A4004" s="170"/>
      <c r="B4004" s="170"/>
    </row>
    <row r="4005" spans="1:2" x14ac:dyDescent="0.25">
      <c r="A4005" s="170"/>
      <c r="B4005" s="170"/>
    </row>
    <row r="4006" spans="1:2" x14ac:dyDescent="0.25">
      <c r="A4006" s="170"/>
      <c r="B4006" s="170"/>
    </row>
    <row r="4007" spans="1:2" x14ac:dyDescent="0.25">
      <c r="A4007" s="170"/>
      <c r="B4007" s="170"/>
    </row>
    <row r="4008" spans="1:2" x14ac:dyDescent="0.25">
      <c r="A4008" s="170"/>
      <c r="B4008" s="170"/>
    </row>
    <row r="4009" spans="1:2" x14ac:dyDescent="0.25">
      <c r="A4009" s="170"/>
      <c r="B4009" s="170"/>
    </row>
    <row r="4010" spans="1:2" x14ac:dyDescent="0.25">
      <c r="A4010" s="170"/>
      <c r="B4010" s="170"/>
    </row>
    <row r="4011" spans="1:2" x14ac:dyDescent="0.25">
      <c r="A4011" s="170"/>
      <c r="B4011" s="170"/>
    </row>
    <row r="4012" spans="1:2" x14ac:dyDescent="0.25">
      <c r="A4012" s="170"/>
      <c r="B4012" s="170"/>
    </row>
    <row r="4013" spans="1:2" x14ac:dyDescent="0.25">
      <c r="A4013" s="170"/>
      <c r="B4013" s="170"/>
    </row>
    <row r="4014" spans="1:2" x14ac:dyDescent="0.25">
      <c r="A4014" s="170"/>
      <c r="B4014" s="170"/>
    </row>
    <row r="4015" spans="1:2" x14ac:dyDescent="0.25">
      <c r="A4015" s="170"/>
      <c r="B4015" s="170"/>
    </row>
    <row r="4016" spans="1:2" x14ac:dyDescent="0.25">
      <c r="A4016" s="170"/>
      <c r="B4016" s="170"/>
    </row>
    <row r="4017" spans="1:2" x14ac:dyDescent="0.25">
      <c r="A4017" s="170"/>
      <c r="B4017" s="170"/>
    </row>
    <row r="4018" spans="1:2" x14ac:dyDescent="0.25">
      <c r="A4018" s="170"/>
      <c r="B4018" s="170"/>
    </row>
    <row r="4019" spans="1:2" x14ac:dyDescent="0.25">
      <c r="A4019" s="170"/>
      <c r="B4019" s="170"/>
    </row>
    <row r="4020" spans="1:2" x14ac:dyDescent="0.25">
      <c r="A4020" s="170"/>
      <c r="B4020" s="170"/>
    </row>
    <row r="4021" spans="1:2" x14ac:dyDescent="0.25">
      <c r="A4021" s="170"/>
      <c r="B4021" s="170"/>
    </row>
    <row r="4022" spans="1:2" x14ac:dyDescent="0.25">
      <c r="A4022" s="170"/>
      <c r="B4022" s="170"/>
    </row>
    <row r="4023" spans="1:2" x14ac:dyDescent="0.25">
      <c r="A4023" s="170"/>
      <c r="B4023" s="170"/>
    </row>
    <row r="4024" spans="1:2" x14ac:dyDescent="0.25">
      <c r="A4024" s="170"/>
      <c r="B4024" s="170"/>
    </row>
    <row r="4025" spans="1:2" x14ac:dyDescent="0.25">
      <c r="A4025" s="170"/>
      <c r="B4025" s="170"/>
    </row>
    <row r="4026" spans="1:2" x14ac:dyDescent="0.25">
      <c r="A4026" s="170"/>
      <c r="B4026" s="170"/>
    </row>
    <row r="4027" spans="1:2" x14ac:dyDescent="0.25">
      <c r="A4027" s="170"/>
      <c r="B4027" s="170"/>
    </row>
    <row r="4028" spans="1:2" x14ac:dyDescent="0.25">
      <c r="A4028" s="170"/>
      <c r="B4028" s="170"/>
    </row>
    <row r="4029" spans="1:2" x14ac:dyDescent="0.25">
      <c r="A4029" s="170"/>
      <c r="B4029" s="170"/>
    </row>
    <row r="4030" spans="1:2" x14ac:dyDescent="0.25">
      <c r="A4030" s="170"/>
      <c r="B4030" s="170"/>
    </row>
    <row r="4031" spans="1:2" x14ac:dyDescent="0.25">
      <c r="A4031" s="170"/>
      <c r="B4031" s="170"/>
    </row>
    <row r="4032" spans="1:2" x14ac:dyDescent="0.25">
      <c r="A4032" s="170"/>
      <c r="B4032" s="170"/>
    </row>
    <row r="4033" spans="1:2" x14ac:dyDescent="0.25">
      <c r="A4033" s="170"/>
      <c r="B4033" s="170"/>
    </row>
    <row r="4034" spans="1:2" x14ac:dyDescent="0.25">
      <c r="A4034" s="170"/>
      <c r="B4034" s="170"/>
    </row>
    <row r="4035" spans="1:2" x14ac:dyDescent="0.25">
      <c r="A4035" s="170"/>
      <c r="B4035" s="170"/>
    </row>
    <row r="4036" spans="1:2" x14ac:dyDescent="0.25">
      <c r="A4036" s="170"/>
      <c r="B4036" s="170"/>
    </row>
    <row r="4037" spans="1:2" x14ac:dyDescent="0.25">
      <c r="A4037" s="170"/>
      <c r="B4037" s="170"/>
    </row>
    <row r="4038" spans="1:2" x14ac:dyDescent="0.25">
      <c r="A4038" s="170"/>
      <c r="B4038" s="170"/>
    </row>
    <row r="4039" spans="1:2" x14ac:dyDescent="0.25">
      <c r="A4039" s="170"/>
      <c r="B4039" s="170"/>
    </row>
    <row r="4040" spans="1:2" x14ac:dyDescent="0.25">
      <c r="A4040" s="170"/>
      <c r="B4040" s="170"/>
    </row>
    <row r="4041" spans="1:2" x14ac:dyDescent="0.25">
      <c r="A4041" s="170"/>
      <c r="B4041" s="170"/>
    </row>
    <row r="4042" spans="1:2" x14ac:dyDescent="0.25">
      <c r="A4042" s="170"/>
      <c r="B4042" s="170"/>
    </row>
    <row r="4043" spans="1:2" x14ac:dyDescent="0.25">
      <c r="A4043" s="170"/>
      <c r="B4043" s="170"/>
    </row>
    <row r="4044" spans="1:2" x14ac:dyDescent="0.25">
      <c r="A4044" s="170"/>
      <c r="B4044" s="170"/>
    </row>
    <row r="4045" spans="1:2" x14ac:dyDescent="0.25">
      <c r="A4045" s="170"/>
      <c r="B4045" s="170"/>
    </row>
    <row r="4046" spans="1:2" x14ac:dyDescent="0.25">
      <c r="A4046" s="170"/>
      <c r="B4046" s="170"/>
    </row>
    <row r="4047" spans="1:2" x14ac:dyDescent="0.25">
      <c r="A4047" s="170"/>
      <c r="B4047" s="170"/>
    </row>
    <row r="4048" spans="1:2" x14ac:dyDescent="0.25">
      <c r="A4048" s="170"/>
      <c r="B4048" s="170"/>
    </row>
    <row r="4049" spans="1:2" x14ac:dyDescent="0.25">
      <c r="A4049" s="170"/>
      <c r="B4049" s="170"/>
    </row>
    <row r="4050" spans="1:2" x14ac:dyDescent="0.25">
      <c r="A4050" s="170"/>
      <c r="B4050" s="170"/>
    </row>
    <row r="4051" spans="1:2" x14ac:dyDescent="0.25">
      <c r="A4051" s="170"/>
      <c r="B4051" s="170"/>
    </row>
    <row r="4052" spans="1:2" x14ac:dyDescent="0.25">
      <c r="A4052" s="170"/>
      <c r="B4052" s="170"/>
    </row>
    <row r="4053" spans="1:2" x14ac:dyDescent="0.25">
      <c r="A4053" s="170"/>
      <c r="B4053" s="170"/>
    </row>
    <row r="4054" spans="1:2" x14ac:dyDescent="0.25">
      <c r="A4054" s="170"/>
      <c r="B4054" s="170"/>
    </row>
    <row r="4055" spans="1:2" x14ac:dyDescent="0.25">
      <c r="A4055" s="170"/>
      <c r="B4055" s="170"/>
    </row>
    <row r="4056" spans="1:2" x14ac:dyDescent="0.25">
      <c r="A4056" s="170"/>
      <c r="B4056" s="170"/>
    </row>
    <row r="4057" spans="1:2" x14ac:dyDescent="0.25">
      <c r="A4057" s="170"/>
      <c r="B4057" s="170"/>
    </row>
    <row r="4058" spans="1:2" x14ac:dyDescent="0.25">
      <c r="A4058" s="170"/>
      <c r="B4058" s="170"/>
    </row>
    <row r="4059" spans="1:2" x14ac:dyDescent="0.25">
      <c r="A4059" s="170"/>
      <c r="B4059" s="170"/>
    </row>
    <row r="4060" spans="1:2" x14ac:dyDescent="0.25">
      <c r="A4060" s="170"/>
      <c r="B4060" s="170"/>
    </row>
    <row r="4061" spans="1:2" x14ac:dyDescent="0.25">
      <c r="A4061" s="170"/>
      <c r="B4061" s="170"/>
    </row>
    <row r="4062" spans="1:2" x14ac:dyDescent="0.25">
      <c r="A4062" s="170"/>
      <c r="B4062" s="170"/>
    </row>
    <row r="4063" spans="1:2" x14ac:dyDescent="0.25">
      <c r="A4063" s="170"/>
      <c r="B4063" s="170"/>
    </row>
    <row r="4064" spans="1:2" x14ac:dyDescent="0.25">
      <c r="A4064" s="170"/>
      <c r="B4064" s="170"/>
    </row>
    <row r="4065" spans="1:2" x14ac:dyDescent="0.25">
      <c r="A4065" s="170"/>
      <c r="B4065" s="170"/>
    </row>
    <row r="4066" spans="1:2" x14ac:dyDescent="0.25">
      <c r="A4066" s="170"/>
      <c r="B4066" s="170"/>
    </row>
    <row r="4067" spans="1:2" x14ac:dyDescent="0.25">
      <c r="A4067" s="170"/>
      <c r="B4067" s="170"/>
    </row>
    <row r="4068" spans="1:2" x14ac:dyDescent="0.25">
      <c r="A4068" s="170"/>
      <c r="B4068" s="170"/>
    </row>
    <row r="4069" spans="1:2" x14ac:dyDescent="0.25">
      <c r="A4069" s="170"/>
      <c r="B4069" s="170"/>
    </row>
    <row r="4070" spans="1:2" x14ac:dyDescent="0.25">
      <c r="A4070" s="170"/>
      <c r="B4070" s="170"/>
    </row>
    <row r="4071" spans="1:2" x14ac:dyDescent="0.25">
      <c r="A4071" s="170"/>
      <c r="B4071" s="170"/>
    </row>
    <row r="4072" spans="1:2" x14ac:dyDescent="0.25">
      <c r="A4072" s="170"/>
      <c r="B4072" s="170"/>
    </row>
    <row r="4073" spans="1:2" x14ac:dyDescent="0.25">
      <c r="A4073" s="170"/>
      <c r="B4073" s="170"/>
    </row>
    <row r="4074" spans="1:2" x14ac:dyDescent="0.25">
      <c r="A4074" s="170"/>
      <c r="B4074" s="170"/>
    </row>
    <row r="4075" spans="1:2" x14ac:dyDescent="0.25">
      <c r="A4075" s="170"/>
      <c r="B4075" s="170"/>
    </row>
    <row r="4076" spans="1:2" x14ac:dyDescent="0.25">
      <c r="A4076" s="170"/>
      <c r="B4076" s="170"/>
    </row>
    <row r="4077" spans="1:2" x14ac:dyDescent="0.25">
      <c r="A4077" s="170"/>
      <c r="B4077" s="170"/>
    </row>
    <row r="4078" spans="1:2" x14ac:dyDescent="0.25">
      <c r="A4078" s="170"/>
      <c r="B4078" s="170"/>
    </row>
    <row r="4079" spans="1:2" x14ac:dyDescent="0.25">
      <c r="A4079" s="170"/>
      <c r="B4079" s="170"/>
    </row>
    <row r="4080" spans="1:2" x14ac:dyDescent="0.25">
      <c r="A4080" s="170"/>
      <c r="B4080" s="170"/>
    </row>
    <row r="4081" spans="1:2" x14ac:dyDescent="0.25">
      <c r="A4081" s="170"/>
      <c r="B4081" s="170"/>
    </row>
    <row r="4082" spans="1:2" x14ac:dyDescent="0.25">
      <c r="A4082" s="170"/>
      <c r="B4082" s="170"/>
    </row>
    <row r="4083" spans="1:2" x14ac:dyDescent="0.25">
      <c r="A4083" s="170"/>
      <c r="B4083" s="170"/>
    </row>
    <row r="4084" spans="1:2" x14ac:dyDescent="0.25">
      <c r="A4084" s="170"/>
      <c r="B4084" s="170"/>
    </row>
    <row r="4085" spans="1:2" x14ac:dyDescent="0.25">
      <c r="A4085" s="170"/>
      <c r="B4085" s="170"/>
    </row>
    <row r="4086" spans="1:2" x14ac:dyDescent="0.25">
      <c r="A4086" s="170"/>
      <c r="B4086" s="170"/>
    </row>
    <row r="4087" spans="1:2" x14ac:dyDescent="0.25">
      <c r="A4087" s="170"/>
      <c r="B4087" s="170"/>
    </row>
    <row r="4088" spans="1:2" x14ac:dyDescent="0.25">
      <c r="A4088" s="170"/>
      <c r="B4088" s="170"/>
    </row>
    <row r="4089" spans="1:2" x14ac:dyDescent="0.25">
      <c r="A4089" s="170"/>
      <c r="B4089" s="170"/>
    </row>
    <row r="4090" spans="1:2" x14ac:dyDescent="0.25">
      <c r="A4090" s="170"/>
      <c r="B4090" s="170"/>
    </row>
    <row r="4091" spans="1:2" x14ac:dyDescent="0.25">
      <c r="A4091" s="170"/>
      <c r="B4091" s="170"/>
    </row>
    <row r="4092" spans="1:2" x14ac:dyDescent="0.25">
      <c r="A4092" s="170"/>
      <c r="B4092" s="170"/>
    </row>
    <row r="4093" spans="1:2" x14ac:dyDescent="0.25">
      <c r="A4093" s="170"/>
      <c r="B4093" s="170"/>
    </row>
    <row r="4094" spans="1:2" x14ac:dyDescent="0.25">
      <c r="A4094" s="170"/>
      <c r="B4094" s="170"/>
    </row>
    <row r="4095" spans="1:2" x14ac:dyDescent="0.25">
      <c r="A4095" s="170"/>
      <c r="B4095" s="170"/>
    </row>
    <row r="4096" spans="1:2" x14ac:dyDescent="0.25">
      <c r="A4096" s="170"/>
      <c r="B4096" s="170"/>
    </row>
    <row r="4097" spans="1:2" x14ac:dyDescent="0.25">
      <c r="A4097" s="170"/>
      <c r="B4097" s="170"/>
    </row>
    <row r="4098" spans="1:2" x14ac:dyDescent="0.25">
      <c r="A4098" s="170"/>
      <c r="B4098" s="170"/>
    </row>
    <row r="4099" spans="1:2" x14ac:dyDescent="0.25">
      <c r="A4099" s="170"/>
      <c r="B4099" s="170"/>
    </row>
    <row r="4100" spans="1:2" x14ac:dyDescent="0.25">
      <c r="A4100" s="170"/>
      <c r="B4100" s="170"/>
    </row>
    <row r="4101" spans="1:2" x14ac:dyDescent="0.25">
      <c r="A4101" s="170"/>
      <c r="B4101" s="170"/>
    </row>
    <row r="4102" spans="1:2" x14ac:dyDescent="0.25">
      <c r="A4102" s="170"/>
      <c r="B4102" s="170"/>
    </row>
    <row r="4103" spans="1:2" x14ac:dyDescent="0.25">
      <c r="A4103" s="170"/>
      <c r="B4103" s="170"/>
    </row>
    <row r="4104" spans="1:2" x14ac:dyDescent="0.25">
      <c r="A4104" s="170"/>
      <c r="B4104" s="170"/>
    </row>
    <row r="4105" spans="1:2" x14ac:dyDescent="0.25">
      <c r="A4105" s="170"/>
      <c r="B4105" s="170"/>
    </row>
    <row r="4106" spans="1:2" x14ac:dyDescent="0.25">
      <c r="A4106" s="170"/>
      <c r="B4106" s="170"/>
    </row>
    <row r="4107" spans="1:2" x14ac:dyDescent="0.25">
      <c r="A4107" s="170"/>
      <c r="B4107" s="170"/>
    </row>
    <row r="4108" spans="1:2" x14ac:dyDescent="0.25">
      <c r="A4108" s="170"/>
      <c r="B4108" s="170"/>
    </row>
    <row r="4109" spans="1:2" x14ac:dyDescent="0.25">
      <c r="A4109" s="170"/>
      <c r="B4109" s="170"/>
    </row>
    <row r="4110" spans="1:2" x14ac:dyDescent="0.25">
      <c r="A4110" s="170"/>
      <c r="B4110" s="170"/>
    </row>
    <row r="4111" spans="1:2" x14ac:dyDescent="0.25">
      <c r="A4111" s="170"/>
      <c r="B4111" s="170"/>
    </row>
    <row r="4112" spans="1:2" x14ac:dyDescent="0.25">
      <c r="A4112" s="170"/>
      <c r="B4112" s="170"/>
    </row>
    <row r="4113" spans="1:2" x14ac:dyDescent="0.25">
      <c r="A4113" s="170"/>
      <c r="B4113" s="170"/>
    </row>
    <row r="4114" spans="1:2" x14ac:dyDescent="0.25">
      <c r="A4114" s="170"/>
      <c r="B4114" s="170"/>
    </row>
    <row r="4115" spans="1:2" x14ac:dyDescent="0.25">
      <c r="A4115" s="170"/>
      <c r="B4115" s="170"/>
    </row>
    <row r="4116" spans="1:2" x14ac:dyDescent="0.25">
      <c r="A4116" s="170"/>
      <c r="B4116" s="170"/>
    </row>
    <row r="4117" spans="1:2" x14ac:dyDescent="0.25">
      <c r="A4117" s="170"/>
      <c r="B4117" s="170"/>
    </row>
    <row r="4118" spans="1:2" x14ac:dyDescent="0.25">
      <c r="A4118" s="170"/>
      <c r="B4118" s="170"/>
    </row>
    <row r="4119" spans="1:2" x14ac:dyDescent="0.25">
      <c r="A4119" s="170"/>
      <c r="B4119" s="170"/>
    </row>
    <row r="4120" spans="1:2" x14ac:dyDescent="0.25">
      <c r="A4120" s="170"/>
      <c r="B4120" s="170"/>
    </row>
    <row r="4121" spans="1:2" x14ac:dyDescent="0.25">
      <c r="A4121" s="170"/>
      <c r="B4121" s="170"/>
    </row>
    <row r="4122" spans="1:2" x14ac:dyDescent="0.25">
      <c r="A4122" s="170"/>
      <c r="B4122" s="170"/>
    </row>
    <row r="4123" spans="1:2" x14ac:dyDescent="0.25">
      <c r="A4123" s="170"/>
      <c r="B4123" s="170"/>
    </row>
    <row r="4124" spans="1:2" x14ac:dyDescent="0.25">
      <c r="A4124" s="170"/>
      <c r="B4124" s="170"/>
    </row>
    <row r="4125" spans="1:2" x14ac:dyDescent="0.25">
      <c r="A4125" s="170"/>
      <c r="B4125" s="170"/>
    </row>
    <row r="4126" spans="1:2" x14ac:dyDescent="0.25">
      <c r="A4126" s="170"/>
      <c r="B4126" s="170"/>
    </row>
    <row r="4127" spans="1:2" x14ac:dyDescent="0.25">
      <c r="A4127" s="170"/>
      <c r="B4127" s="170"/>
    </row>
    <row r="4128" spans="1:2" x14ac:dyDescent="0.25">
      <c r="A4128" s="170"/>
      <c r="B4128" s="170"/>
    </row>
    <row r="4129" spans="1:2" x14ac:dyDescent="0.25">
      <c r="A4129" s="170"/>
      <c r="B4129" s="170"/>
    </row>
    <row r="4130" spans="1:2" x14ac:dyDescent="0.25">
      <c r="A4130" s="170"/>
      <c r="B4130" s="170"/>
    </row>
    <row r="4131" spans="1:2" x14ac:dyDescent="0.25">
      <c r="A4131" s="170"/>
      <c r="B4131" s="170"/>
    </row>
    <row r="4132" spans="1:2" x14ac:dyDescent="0.25">
      <c r="A4132" s="170"/>
      <c r="B4132" s="170"/>
    </row>
    <row r="4133" spans="1:2" x14ac:dyDescent="0.25">
      <c r="A4133" s="170"/>
      <c r="B4133" s="170"/>
    </row>
    <row r="4134" spans="1:2" x14ac:dyDescent="0.25">
      <c r="A4134" s="170"/>
      <c r="B4134" s="170"/>
    </row>
    <row r="4135" spans="1:2" x14ac:dyDescent="0.25">
      <c r="A4135" s="170"/>
      <c r="B4135" s="170"/>
    </row>
    <row r="4136" spans="1:2" x14ac:dyDescent="0.25">
      <c r="A4136" s="170"/>
      <c r="B4136" s="170"/>
    </row>
    <row r="4137" spans="1:2" x14ac:dyDescent="0.25">
      <c r="A4137" s="170"/>
      <c r="B4137" s="170"/>
    </row>
    <row r="4138" spans="1:2" x14ac:dyDescent="0.25">
      <c r="A4138" s="170"/>
      <c r="B4138" s="170"/>
    </row>
    <row r="4139" spans="1:2" x14ac:dyDescent="0.25">
      <c r="A4139" s="170"/>
      <c r="B4139" s="170"/>
    </row>
    <row r="4140" spans="1:2" x14ac:dyDescent="0.25">
      <c r="A4140" s="170"/>
      <c r="B4140" s="170"/>
    </row>
    <row r="4141" spans="1:2" x14ac:dyDescent="0.25">
      <c r="A4141" s="170"/>
      <c r="B4141" s="170"/>
    </row>
    <row r="4142" spans="1:2" x14ac:dyDescent="0.25">
      <c r="A4142" s="170"/>
      <c r="B4142" s="170"/>
    </row>
    <row r="4143" spans="1:2" x14ac:dyDescent="0.25">
      <c r="A4143" s="170"/>
      <c r="B4143" s="170"/>
    </row>
    <row r="4144" spans="1:2" x14ac:dyDescent="0.25">
      <c r="A4144" s="170"/>
      <c r="B4144" s="170"/>
    </row>
    <row r="4145" spans="1:2" x14ac:dyDescent="0.25">
      <c r="A4145" s="170"/>
      <c r="B4145" s="170"/>
    </row>
    <row r="4146" spans="1:2" x14ac:dyDescent="0.25">
      <c r="A4146" s="170"/>
      <c r="B4146" s="170"/>
    </row>
    <row r="4147" spans="1:2" x14ac:dyDescent="0.25">
      <c r="A4147" s="170"/>
      <c r="B4147" s="170"/>
    </row>
    <row r="4148" spans="1:2" x14ac:dyDescent="0.25">
      <c r="A4148" s="170"/>
      <c r="B4148" s="170"/>
    </row>
    <row r="4149" spans="1:2" x14ac:dyDescent="0.25">
      <c r="A4149" s="170"/>
      <c r="B4149" s="170"/>
    </row>
    <row r="4150" spans="1:2" x14ac:dyDescent="0.25">
      <c r="A4150" s="170"/>
      <c r="B4150" s="170"/>
    </row>
    <row r="4151" spans="1:2" x14ac:dyDescent="0.25">
      <c r="A4151" s="170"/>
      <c r="B4151" s="170"/>
    </row>
    <row r="4152" spans="1:2" x14ac:dyDescent="0.25">
      <c r="A4152" s="170"/>
      <c r="B4152" s="170"/>
    </row>
    <row r="4153" spans="1:2" x14ac:dyDescent="0.25">
      <c r="A4153" s="170"/>
      <c r="B4153" s="170"/>
    </row>
    <row r="4154" spans="1:2" x14ac:dyDescent="0.25">
      <c r="A4154" s="170"/>
      <c r="B4154" s="170"/>
    </row>
    <row r="4155" spans="1:2" x14ac:dyDescent="0.25">
      <c r="A4155" s="170"/>
      <c r="B4155" s="170"/>
    </row>
    <row r="4156" spans="1:2" x14ac:dyDescent="0.25">
      <c r="A4156" s="170"/>
      <c r="B4156" s="170"/>
    </row>
    <row r="4157" spans="1:2" x14ac:dyDescent="0.25">
      <c r="A4157" s="170"/>
      <c r="B4157" s="170"/>
    </row>
    <row r="4158" spans="1:2" x14ac:dyDescent="0.25">
      <c r="A4158" s="170"/>
      <c r="B4158" s="170"/>
    </row>
    <row r="4159" spans="1:2" x14ac:dyDescent="0.25">
      <c r="A4159" s="170"/>
      <c r="B4159" s="170"/>
    </row>
    <row r="4160" spans="1:2" x14ac:dyDescent="0.25">
      <c r="A4160" s="170"/>
      <c r="B4160" s="170"/>
    </row>
    <row r="4161" spans="1:2" x14ac:dyDescent="0.25">
      <c r="A4161" s="170"/>
      <c r="B4161" s="170"/>
    </row>
    <row r="4162" spans="1:2" x14ac:dyDescent="0.25">
      <c r="A4162" s="170"/>
      <c r="B4162" s="170"/>
    </row>
    <row r="4163" spans="1:2" x14ac:dyDescent="0.25">
      <c r="A4163" s="170"/>
      <c r="B4163" s="170"/>
    </row>
    <row r="4164" spans="1:2" x14ac:dyDescent="0.25">
      <c r="A4164" s="170"/>
      <c r="B4164" s="170"/>
    </row>
    <row r="4165" spans="1:2" x14ac:dyDescent="0.25">
      <c r="A4165" s="170"/>
      <c r="B4165" s="170"/>
    </row>
    <row r="4166" spans="1:2" x14ac:dyDescent="0.25">
      <c r="A4166" s="170"/>
      <c r="B4166" s="170"/>
    </row>
    <row r="4167" spans="1:2" x14ac:dyDescent="0.25">
      <c r="A4167" s="170"/>
      <c r="B4167" s="170"/>
    </row>
    <row r="4168" spans="1:2" x14ac:dyDescent="0.25">
      <c r="A4168" s="170"/>
      <c r="B4168" s="170"/>
    </row>
    <row r="4169" spans="1:2" x14ac:dyDescent="0.25">
      <c r="A4169" s="170"/>
      <c r="B4169" s="170"/>
    </row>
    <row r="4170" spans="1:2" x14ac:dyDescent="0.25">
      <c r="A4170" s="170"/>
      <c r="B4170" s="170"/>
    </row>
    <row r="4171" spans="1:2" x14ac:dyDescent="0.25">
      <c r="A4171" s="170"/>
      <c r="B4171" s="170"/>
    </row>
    <row r="4172" spans="1:2" x14ac:dyDescent="0.25">
      <c r="A4172" s="170"/>
      <c r="B4172" s="170"/>
    </row>
    <row r="4173" spans="1:2" x14ac:dyDescent="0.25">
      <c r="A4173" s="170"/>
      <c r="B4173" s="170"/>
    </row>
    <row r="4174" spans="1:2" x14ac:dyDescent="0.25">
      <c r="A4174" s="170"/>
      <c r="B4174" s="170"/>
    </row>
    <row r="4175" spans="1:2" x14ac:dyDescent="0.25">
      <c r="A4175" s="170"/>
      <c r="B4175" s="170"/>
    </row>
    <row r="4176" spans="1:2" x14ac:dyDescent="0.25">
      <c r="A4176" s="170"/>
      <c r="B4176" s="170"/>
    </row>
    <row r="4177" spans="1:2" x14ac:dyDescent="0.25">
      <c r="A4177" s="170"/>
      <c r="B4177" s="170"/>
    </row>
    <row r="4178" spans="1:2" x14ac:dyDescent="0.25">
      <c r="A4178" s="170"/>
      <c r="B4178" s="170"/>
    </row>
    <row r="4179" spans="1:2" x14ac:dyDescent="0.25">
      <c r="A4179" s="170"/>
      <c r="B4179" s="170"/>
    </row>
    <row r="4180" spans="1:2" x14ac:dyDescent="0.25">
      <c r="A4180" s="170"/>
      <c r="B4180" s="170"/>
    </row>
    <row r="4181" spans="1:2" x14ac:dyDescent="0.25">
      <c r="A4181" s="170"/>
      <c r="B4181" s="170"/>
    </row>
    <row r="4182" spans="1:2" x14ac:dyDescent="0.25">
      <c r="A4182" s="170"/>
      <c r="B4182" s="170"/>
    </row>
    <row r="4183" spans="1:2" x14ac:dyDescent="0.25">
      <c r="A4183" s="170"/>
      <c r="B4183" s="170"/>
    </row>
    <row r="4184" spans="1:2" x14ac:dyDescent="0.25">
      <c r="A4184" s="170"/>
      <c r="B4184" s="170"/>
    </row>
    <row r="4185" spans="1:2" x14ac:dyDescent="0.25">
      <c r="A4185" s="170"/>
      <c r="B4185" s="170"/>
    </row>
    <row r="4186" spans="1:2" x14ac:dyDescent="0.25">
      <c r="A4186" s="170"/>
      <c r="B4186" s="170"/>
    </row>
    <row r="4187" spans="1:2" x14ac:dyDescent="0.25">
      <c r="A4187" s="170"/>
      <c r="B4187" s="170"/>
    </row>
    <row r="4188" spans="1:2" x14ac:dyDescent="0.25">
      <c r="A4188" s="170"/>
      <c r="B4188" s="170"/>
    </row>
    <row r="4189" spans="1:2" x14ac:dyDescent="0.25">
      <c r="A4189" s="170"/>
      <c r="B4189" s="170"/>
    </row>
    <row r="4190" spans="1:2" x14ac:dyDescent="0.25">
      <c r="A4190" s="170"/>
      <c r="B4190" s="170"/>
    </row>
    <row r="4191" spans="1:2" x14ac:dyDescent="0.25">
      <c r="A4191" s="170"/>
      <c r="B4191" s="170"/>
    </row>
    <row r="4192" spans="1:2" x14ac:dyDescent="0.25">
      <c r="A4192" s="170"/>
      <c r="B4192" s="170"/>
    </row>
    <row r="4193" spans="1:2" x14ac:dyDescent="0.25">
      <c r="A4193" s="170"/>
      <c r="B4193" s="170"/>
    </row>
    <row r="4194" spans="1:2" x14ac:dyDescent="0.25">
      <c r="A4194" s="170"/>
      <c r="B4194" s="170"/>
    </row>
    <row r="4195" spans="1:2" x14ac:dyDescent="0.25">
      <c r="A4195" s="170"/>
      <c r="B4195" s="170"/>
    </row>
    <row r="4196" spans="1:2" x14ac:dyDescent="0.25">
      <c r="A4196" s="170"/>
      <c r="B4196" s="170"/>
    </row>
    <row r="4197" spans="1:2" x14ac:dyDescent="0.25">
      <c r="A4197" s="170"/>
      <c r="B4197" s="170"/>
    </row>
    <row r="4198" spans="1:2" x14ac:dyDescent="0.25">
      <c r="A4198" s="170"/>
      <c r="B4198" s="170"/>
    </row>
    <row r="4199" spans="1:2" x14ac:dyDescent="0.25">
      <c r="A4199" s="170"/>
      <c r="B4199" s="170"/>
    </row>
    <row r="4200" spans="1:2" x14ac:dyDescent="0.25">
      <c r="A4200" s="170"/>
      <c r="B4200" s="170"/>
    </row>
    <row r="4201" spans="1:2" x14ac:dyDescent="0.25">
      <c r="A4201" s="170"/>
      <c r="B4201" s="170"/>
    </row>
    <row r="4202" spans="1:2" x14ac:dyDescent="0.25">
      <c r="A4202" s="170"/>
      <c r="B4202" s="170"/>
    </row>
    <row r="4203" spans="1:2" x14ac:dyDescent="0.25">
      <c r="A4203" s="170"/>
      <c r="B4203" s="170"/>
    </row>
    <row r="4204" spans="1:2" x14ac:dyDescent="0.25">
      <c r="A4204" s="170"/>
      <c r="B4204" s="170"/>
    </row>
    <row r="4205" spans="1:2" x14ac:dyDescent="0.25">
      <c r="A4205" s="170"/>
      <c r="B4205" s="170"/>
    </row>
    <row r="4206" spans="1:2" x14ac:dyDescent="0.25">
      <c r="A4206" s="170"/>
      <c r="B4206" s="170"/>
    </row>
    <row r="4207" spans="1:2" x14ac:dyDescent="0.25">
      <c r="A4207" s="170"/>
      <c r="B4207" s="170"/>
    </row>
    <row r="4208" spans="1:2" x14ac:dyDescent="0.25">
      <c r="A4208" s="170"/>
      <c r="B4208" s="170"/>
    </row>
    <row r="4209" spans="1:2" x14ac:dyDescent="0.25">
      <c r="A4209" s="170"/>
      <c r="B4209" s="170"/>
    </row>
    <row r="4210" spans="1:2" x14ac:dyDescent="0.25">
      <c r="A4210" s="170"/>
      <c r="B4210" s="170"/>
    </row>
    <row r="4211" spans="1:2" x14ac:dyDescent="0.25">
      <c r="A4211" s="170"/>
      <c r="B4211" s="170"/>
    </row>
    <row r="4212" spans="1:2" x14ac:dyDescent="0.25">
      <c r="A4212" s="170"/>
      <c r="B4212" s="170"/>
    </row>
    <row r="4213" spans="1:2" x14ac:dyDescent="0.25">
      <c r="A4213" s="170"/>
      <c r="B4213" s="170"/>
    </row>
    <row r="4214" spans="1:2" x14ac:dyDescent="0.25">
      <c r="A4214" s="170"/>
      <c r="B4214" s="170"/>
    </row>
    <row r="4215" spans="1:2" x14ac:dyDescent="0.25">
      <c r="A4215" s="170"/>
      <c r="B4215" s="170"/>
    </row>
    <row r="4216" spans="1:2" x14ac:dyDescent="0.25">
      <c r="A4216" s="170"/>
      <c r="B4216" s="170"/>
    </row>
    <row r="4217" spans="1:2" x14ac:dyDescent="0.25">
      <c r="A4217" s="170"/>
      <c r="B4217" s="170"/>
    </row>
    <row r="4218" spans="1:2" x14ac:dyDescent="0.25">
      <c r="A4218" s="170"/>
      <c r="B4218" s="170"/>
    </row>
    <row r="4219" spans="1:2" x14ac:dyDescent="0.25">
      <c r="A4219" s="170"/>
      <c r="B4219" s="170"/>
    </row>
    <row r="4220" spans="1:2" x14ac:dyDescent="0.25">
      <c r="A4220" s="170"/>
      <c r="B4220" s="170"/>
    </row>
    <row r="4221" spans="1:2" x14ac:dyDescent="0.25">
      <c r="A4221" s="170"/>
      <c r="B4221" s="170"/>
    </row>
    <row r="4222" spans="1:2" x14ac:dyDescent="0.25">
      <c r="A4222" s="170"/>
      <c r="B4222" s="170"/>
    </row>
    <row r="4223" spans="1:2" x14ac:dyDescent="0.25">
      <c r="A4223" s="170"/>
      <c r="B4223" s="170"/>
    </row>
    <row r="4224" spans="1:2" x14ac:dyDescent="0.25">
      <c r="A4224" s="170"/>
      <c r="B4224" s="170"/>
    </row>
    <row r="4225" spans="1:2" x14ac:dyDescent="0.25">
      <c r="A4225" s="170"/>
      <c r="B4225" s="170"/>
    </row>
    <row r="4226" spans="1:2" x14ac:dyDescent="0.25">
      <c r="A4226" s="170"/>
      <c r="B4226" s="170"/>
    </row>
    <row r="4227" spans="1:2" x14ac:dyDescent="0.25">
      <c r="A4227" s="170"/>
      <c r="B4227" s="170"/>
    </row>
    <row r="4228" spans="1:2" x14ac:dyDescent="0.25">
      <c r="A4228" s="170"/>
      <c r="B4228" s="170"/>
    </row>
    <row r="4229" spans="1:2" x14ac:dyDescent="0.25">
      <c r="A4229" s="170"/>
      <c r="B4229" s="170"/>
    </row>
    <row r="4230" spans="1:2" x14ac:dyDescent="0.25">
      <c r="A4230" s="170"/>
      <c r="B4230" s="170"/>
    </row>
    <row r="4231" spans="1:2" x14ac:dyDescent="0.25">
      <c r="A4231" s="170"/>
      <c r="B4231" s="170"/>
    </row>
    <row r="4232" spans="1:2" x14ac:dyDescent="0.25">
      <c r="A4232" s="170"/>
      <c r="B4232" s="170"/>
    </row>
    <row r="4233" spans="1:2" x14ac:dyDescent="0.25">
      <c r="A4233" s="170"/>
      <c r="B4233" s="170"/>
    </row>
    <row r="4234" spans="1:2" x14ac:dyDescent="0.25">
      <c r="A4234" s="170"/>
      <c r="B4234" s="170"/>
    </row>
    <row r="4235" spans="1:2" x14ac:dyDescent="0.25">
      <c r="A4235" s="170"/>
      <c r="B4235" s="170"/>
    </row>
    <row r="4236" spans="1:2" x14ac:dyDescent="0.25">
      <c r="A4236" s="170"/>
      <c r="B4236" s="170"/>
    </row>
    <row r="4237" spans="1:2" x14ac:dyDescent="0.25">
      <c r="A4237" s="170"/>
      <c r="B4237" s="170"/>
    </row>
    <row r="4238" spans="1:2" x14ac:dyDescent="0.25">
      <c r="A4238" s="170"/>
      <c r="B4238" s="170"/>
    </row>
    <row r="4239" spans="1:2" x14ac:dyDescent="0.25">
      <c r="A4239" s="170"/>
      <c r="B4239" s="170"/>
    </row>
    <row r="4240" spans="1:2" x14ac:dyDescent="0.25">
      <c r="A4240" s="170"/>
      <c r="B4240" s="170"/>
    </row>
    <row r="4241" spans="1:2" x14ac:dyDescent="0.25">
      <c r="A4241" s="170"/>
      <c r="B4241" s="170"/>
    </row>
    <row r="4242" spans="1:2" x14ac:dyDescent="0.25">
      <c r="A4242" s="170"/>
      <c r="B4242" s="170"/>
    </row>
    <row r="4243" spans="1:2" x14ac:dyDescent="0.25">
      <c r="A4243" s="170"/>
      <c r="B4243" s="170"/>
    </row>
    <row r="4244" spans="1:2" x14ac:dyDescent="0.25">
      <c r="A4244" s="170"/>
      <c r="B4244" s="170"/>
    </row>
    <row r="4245" spans="1:2" x14ac:dyDescent="0.25">
      <c r="A4245" s="170"/>
      <c r="B4245" s="170"/>
    </row>
    <row r="4246" spans="1:2" x14ac:dyDescent="0.25">
      <c r="A4246" s="170"/>
      <c r="B4246" s="170"/>
    </row>
    <row r="4247" spans="1:2" x14ac:dyDescent="0.25">
      <c r="A4247" s="170"/>
      <c r="B4247" s="170"/>
    </row>
    <row r="4248" spans="1:2" x14ac:dyDescent="0.25">
      <c r="A4248" s="170"/>
      <c r="B4248" s="170"/>
    </row>
    <row r="4249" spans="1:2" x14ac:dyDescent="0.25">
      <c r="A4249" s="170"/>
      <c r="B4249" s="170"/>
    </row>
    <row r="4250" spans="1:2" x14ac:dyDescent="0.25">
      <c r="A4250" s="170"/>
      <c r="B4250" s="170"/>
    </row>
    <row r="4251" spans="1:2" x14ac:dyDescent="0.25">
      <c r="A4251" s="170"/>
      <c r="B4251" s="170"/>
    </row>
    <row r="4252" spans="1:2" x14ac:dyDescent="0.25">
      <c r="A4252" s="170"/>
      <c r="B4252" s="170"/>
    </row>
    <row r="4253" spans="1:2" x14ac:dyDescent="0.25">
      <c r="A4253" s="170"/>
      <c r="B4253" s="170"/>
    </row>
    <row r="4254" spans="1:2" x14ac:dyDescent="0.25">
      <c r="A4254" s="170"/>
      <c r="B4254" s="170"/>
    </row>
    <row r="4255" spans="1:2" x14ac:dyDescent="0.25">
      <c r="A4255" s="170"/>
      <c r="B4255" s="170"/>
    </row>
    <row r="4256" spans="1:2" x14ac:dyDescent="0.25">
      <c r="A4256" s="170"/>
      <c r="B4256" s="170"/>
    </row>
    <row r="4257" spans="1:2" x14ac:dyDescent="0.25">
      <c r="A4257" s="170"/>
      <c r="B4257" s="170"/>
    </row>
    <row r="4258" spans="1:2" x14ac:dyDescent="0.25">
      <c r="A4258" s="170"/>
      <c r="B4258" s="170"/>
    </row>
    <row r="4259" spans="1:2" x14ac:dyDescent="0.25">
      <c r="A4259" s="170"/>
      <c r="B4259" s="170"/>
    </row>
    <row r="4260" spans="1:2" x14ac:dyDescent="0.25">
      <c r="A4260" s="170"/>
      <c r="B4260" s="170"/>
    </row>
    <row r="4261" spans="1:2" x14ac:dyDescent="0.25">
      <c r="A4261" s="170"/>
      <c r="B4261" s="170"/>
    </row>
    <row r="4262" spans="1:2" x14ac:dyDescent="0.25">
      <c r="A4262" s="170"/>
      <c r="B4262" s="170"/>
    </row>
    <row r="4263" spans="1:2" x14ac:dyDescent="0.25">
      <c r="A4263" s="170"/>
      <c r="B4263" s="170"/>
    </row>
    <row r="4264" spans="1:2" x14ac:dyDescent="0.25">
      <c r="A4264" s="170"/>
      <c r="B4264" s="170"/>
    </row>
    <row r="4265" spans="1:2" x14ac:dyDescent="0.25">
      <c r="A4265" s="170"/>
      <c r="B4265" s="170"/>
    </row>
    <row r="4266" spans="1:2" x14ac:dyDescent="0.25">
      <c r="A4266" s="170"/>
      <c r="B4266" s="170"/>
    </row>
    <row r="4267" spans="1:2" x14ac:dyDescent="0.25">
      <c r="A4267" s="170"/>
      <c r="B4267" s="170"/>
    </row>
    <row r="4268" spans="1:2" x14ac:dyDescent="0.25">
      <c r="A4268" s="170"/>
      <c r="B4268" s="170"/>
    </row>
    <row r="4269" spans="1:2" x14ac:dyDescent="0.25">
      <c r="A4269" s="170"/>
      <c r="B4269" s="170"/>
    </row>
    <row r="4270" spans="1:2" x14ac:dyDescent="0.25">
      <c r="A4270" s="170"/>
      <c r="B4270" s="170"/>
    </row>
    <row r="4271" spans="1:2" x14ac:dyDescent="0.25">
      <c r="A4271" s="170"/>
      <c r="B4271" s="170"/>
    </row>
    <row r="4272" spans="1:2" x14ac:dyDescent="0.25">
      <c r="A4272" s="170"/>
      <c r="B4272" s="170"/>
    </row>
    <row r="4273" spans="1:2" x14ac:dyDescent="0.25">
      <c r="A4273" s="170"/>
      <c r="B4273" s="170"/>
    </row>
    <row r="4274" spans="1:2" x14ac:dyDescent="0.25">
      <c r="A4274" s="170"/>
      <c r="B4274" s="170"/>
    </row>
    <row r="4275" spans="1:2" x14ac:dyDescent="0.25">
      <c r="A4275" s="170"/>
      <c r="B4275" s="170"/>
    </row>
    <row r="4276" spans="1:2" x14ac:dyDescent="0.25">
      <c r="A4276" s="170"/>
      <c r="B4276" s="170"/>
    </row>
    <row r="4277" spans="1:2" x14ac:dyDescent="0.25">
      <c r="A4277" s="170"/>
      <c r="B4277" s="170"/>
    </row>
    <row r="4278" spans="1:2" x14ac:dyDescent="0.25">
      <c r="A4278" s="170"/>
      <c r="B4278" s="170"/>
    </row>
    <row r="4279" spans="1:2" x14ac:dyDescent="0.25">
      <c r="A4279" s="170"/>
      <c r="B4279" s="170"/>
    </row>
    <row r="4280" spans="1:2" x14ac:dyDescent="0.25">
      <c r="A4280" s="170"/>
      <c r="B4280" s="170"/>
    </row>
    <row r="4281" spans="1:2" x14ac:dyDescent="0.25">
      <c r="A4281" s="170"/>
      <c r="B4281" s="170"/>
    </row>
    <row r="4282" spans="1:2" x14ac:dyDescent="0.25">
      <c r="A4282" s="170"/>
      <c r="B4282" s="170"/>
    </row>
    <row r="4283" spans="1:2" x14ac:dyDescent="0.25">
      <c r="A4283" s="170"/>
      <c r="B4283" s="170"/>
    </row>
    <row r="4284" spans="1:2" x14ac:dyDescent="0.25">
      <c r="A4284" s="170"/>
      <c r="B4284" s="170"/>
    </row>
    <row r="4285" spans="1:2" x14ac:dyDescent="0.25">
      <c r="A4285" s="170"/>
      <c r="B4285" s="170"/>
    </row>
    <row r="4286" spans="1:2" x14ac:dyDescent="0.25">
      <c r="A4286" s="170"/>
      <c r="B4286" s="170"/>
    </row>
    <row r="4287" spans="1:2" x14ac:dyDescent="0.25">
      <c r="A4287" s="170"/>
      <c r="B4287" s="170"/>
    </row>
    <row r="4288" spans="1:2" x14ac:dyDescent="0.25">
      <c r="A4288" s="170"/>
      <c r="B4288" s="170"/>
    </row>
    <row r="4289" spans="1:2" x14ac:dyDescent="0.25">
      <c r="A4289" s="170"/>
      <c r="B4289" s="170"/>
    </row>
    <row r="4290" spans="1:2" x14ac:dyDescent="0.25">
      <c r="A4290" s="170"/>
      <c r="B4290" s="170"/>
    </row>
    <row r="4291" spans="1:2" x14ac:dyDescent="0.25">
      <c r="A4291" s="170"/>
      <c r="B4291" s="170"/>
    </row>
    <row r="4292" spans="1:2" x14ac:dyDescent="0.25">
      <c r="A4292" s="170"/>
      <c r="B4292" s="170"/>
    </row>
    <row r="4293" spans="1:2" x14ac:dyDescent="0.25">
      <c r="A4293" s="170"/>
      <c r="B4293" s="170"/>
    </row>
    <row r="4294" spans="1:2" x14ac:dyDescent="0.25">
      <c r="A4294" s="170"/>
      <c r="B4294" s="170"/>
    </row>
    <row r="4295" spans="1:2" x14ac:dyDescent="0.25">
      <c r="A4295" s="170"/>
      <c r="B4295" s="170"/>
    </row>
    <row r="4296" spans="1:2" x14ac:dyDescent="0.25">
      <c r="A4296" s="170"/>
      <c r="B4296" s="170"/>
    </row>
    <row r="4297" spans="1:2" x14ac:dyDescent="0.25">
      <c r="A4297" s="170"/>
      <c r="B4297" s="170"/>
    </row>
    <row r="4298" spans="1:2" x14ac:dyDescent="0.25">
      <c r="A4298" s="170"/>
      <c r="B4298" s="170"/>
    </row>
    <row r="4299" spans="1:2" x14ac:dyDescent="0.25">
      <c r="A4299" s="170"/>
      <c r="B4299" s="170"/>
    </row>
    <row r="4300" spans="1:2" x14ac:dyDescent="0.25">
      <c r="A4300" s="170"/>
      <c r="B4300" s="170"/>
    </row>
    <row r="4301" spans="1:2" x14ac:dyDescent="0.25">
      <c r="A4301" s="170"/>
      <c r="B4301" s="170"/>
    </row>
    <row r="4302" spans="1:2" x14ac:dyDescent="0.25">
      <c r="A4302" s="170"/>
      <c r="B4302" s="170"/>
    </row>
    <row r="4303" spans="1:2" x14ac:dyDescent="0.25">
      <c r="A4303" s="170"/>
      <c r="B4303" s="170"/>
    </row>
    <row r="4304" spans="1:2" x14ac:dyDescent="0.25">
      <c r="A4304" s="170"/>
      <c r="B4304" s="170"/>
    </row>
    <row r="4305" spans="1:2" x14ac:dyDescent="0.25">
      <c r="A4305" s="170"/>
      <c r="B4305" s="170"/>
    </row>
    <row r="4306" spans="1:2" x14ac:dyDescent="0.25">
      <c r="A4306" s="170"/>
      <c r="B4306" s="170"/>
    </row>
    <row r="4307" spans="1:2" x14ac:dyDescent="0.25">
      <c r="A4307" s="170"/>
      <c r="B4307" s="170"/>
    </row>
    <row r="4308" spans="1:2" x14ac:dyDescent="0.25">
      <c r="A4308" s="170"/>
      <c r="B4308" s="170"/>
    </row>
    <row r="4309" spans="1:2" x14ac:dyDescent="0.25">
      <c r="A4309" s="170"/>
      <c r="B4309" s="170"/>
    </row>
    <row r="4310" spans="1:2" x14ac:dyDescent="0.25">
      <c r="A4310" s="170"/>
      <c r="B4310" s="170"/>
    </row>
    <row r="4311" spans="1:2" x14ac:dyDescent="0.25">
      <c r="A4311" s="170"/>
      <c r="B4311" s="170"/>
    </row>
    <row r="4312" spans="1:2" x14ac:dyDescent="0.25">
      <c r="A4312" s="170"/>
      <c r="B4312" s="170"/>
    </row>
    <row r="4313" spans="1:2" x14ac:dyDescent="0.25">
      <c r="A4313" s="170"/>
      <c r="B4313" s="170"/>
    </row>
    <row r="4314" spans="1:2" x14ac:dyDescent="0.25">
      <c r="A4314" s="170"/>
      <c r="B4314" s="170"/>
    </row>
    <row r="4315" spans="1:2" x14ac:dyDescent="0.25">
      <c r="A4315" s="170"/>
      <c r="B4315" s="170"/>
    </row>
    <row r="4316" spans="1:2" x14ac:dyDescent="0.25">
      <c r="A4316" s="170"/>
      <c r="B4316" s="170"/>
    </row>
    <row r="4317" spans="1:2" x14ac:dyDescent="0.25">
      <c r="A4317" s="170"/>
      <c r="B4317" s="170"/>
    </row>
    <row r="4318" spans="1:2" x14ac:dyDescent="0.25">
      <c r="A4318" s="170"/>
      <c r="B4318" s="170"/>
    </row>
    <row r="4319" spans="1:2" x14ac:dyDescent="0.25">
      <c r="A4319" s="170"/>
      <c r="B4319" s="170"/>
    </row>
    <row r="4320" spans="1:2" x14ac:dyDescent="0.25">
      <c r="A4320" s="170"/>
      <c r="B4320" s="170"/>
    </row>
    <row r="4321" spans="1:2" x14ac:dyDescent="0.25">
      <c r="A4321" s="170"/>
      <c r="B4321" s="170"/>
    </row>
    <row r="4322" spans="1:2" x14ac:dyDescent="0.25">
      <c r="A4322" s="170"/>
      <c r="B4322" s="170"/>
    </row>
    <row r="4323" spans="1:2" x14ac:dyDescent="0.25">
      <c r="A4323" s="170"/>
      <c r="B4323" s="170"/>
    </row>
    <row r="4324" spans="1:2" x14ac:dyDescent="0.25">
      <c r="A4324" s="170"/>
      <c r="B4324" s="170"/>
    </row>
    <row r="4325" spans="1:2" x14ac:dyDescent="0.25">
      <c r="A4325" s="170"/>
      <c r="B4325" s="170"/>
    </row>
    <row r="4326" spans="1:2" x14ac:dyDescent="0.25">
      <c r="A4326" s="170"/>
      <c r="B4326" s="170"/>
    </row>
    <row r="4327" spans="1:2" x14ac:dyDescent="0.25">
      <c r="A4327" s="170"/>
      <c r="B4327" s="170"/>
    </row>
    <row r="4328" spans="1:2" x14ac:dyDescent="0.25">
      <c r="A4328" s="170"/>
      <c r="B4328" s="170"/>
    </row>
    <row r="4329" spans="1:2" x14ac:dyDescent="0.25">
      <c r="A4329" s="170"/>
      <c r="B4329" s="170"/>
    </row>
    <row r="4330" spans="1:2" x14ac:dyDescent="0.25">
      <c r="A4330" s="170"/>
      <c r="B4330" s="170"/>
    </row>
    <row r="4331" spans="1:2" x14ac:dyDescent="0.25">
      <c r="A4331" s="170"/>
      <c r="B4331" s="170"/>
    </row>
    <row r="4332" spans="1:2" x14ac:dyDescent="0.25">
      <c r="A4332" s="170"/>
      <c r="B4332" s="170"/>
    </row>
    <row r="4333" spans="1:2" x14ac:dyDescent="0.25">
      <c r="A4333" s="170"/>
      <c r="B4333" s="170"/>
    </row>
    <row r="4334" spans="1:2" x14ac:dyDescent="0.25">
      <c r="A4334" s="170"/>
      <c r="B4334" s="170"/>
    </row>
    <row r="4335" spans="1:2" x14ac:dyDescent="0.25">
      <c r="A4335" s="170"/>
      <c r="B4335" s="170"/>
    </row>
    <row r="4336" spans="1:2" x14ac:dyDescent="0.25">
      <c r="A4336" s="170"/>
      <c r="B4336" s="170"/>
    </row>
    <row r="4337" spans="1:2" x14ac:dyDescent="0.25">
      <c r="A4337" s="170"/>
      <c r="B4337" s="170"/>
    </row>
    <row r="4338" spans="1:2" x14ac:dyDescent="0.25">
      <c r="A4338" s="170"/>
      <c r="B4338" s="170"/>
    </row>
    <row r="4339" spans="1:2" x14ac:dyDescent="0.25">
      <c r="A4339" s="170"/>
      <c r="B4339" s="170"/>
    </row>
    <row r="4340" spans="1:2" x14ac:dyDescent="0.25">
      <c r="A4340" s="170"/>
      <c r="B4340" s="170"/>
    </row>
    <row r="4341" spans="1:2" x14ac:dyDescent="0.25">
      <c r="A4341" s="170"/>
      <c r="B4341" s="170"/>
    </row>
    <row r="4342" spans="1:2" x14ac:dyDescent="0.25">
      <c r="A4342" s="170"/>
      <c r="B4342" s="170"/>
    </row>
    <row r="4343" spans="1:2" x14ac:dyDescent="0.25">
      <c r="A4343" s="170"/>
      <c r="B4343" s="170"/>
    </row>
    <row r="4344" spans="1:2" x14ac:dyDescent="0.25">
      <c r="A4344" s="170"/>
      <c r="B4344" s="170"/>
    </row>
    <row r="4345" spans="1:2" x14ac:dyDescent="0.25">
      <c r="A4345" s="170"/>
      <c r="B4345" s="170"/>
    </row>
    <row r="4346" spans="1:2" x14ac:dyDescent="0.25">
      <c r="A4346" s="170"/>
      <c r="B4346" s="170"/>
    </row>
    <row r="4347" spans="1:2" x14ac:dyDescent="0.25">
      <c r="A4347" s="170"/>
      <c r="B4347" s="170"/>
    </row>
    <row r="4348" spans="1:2" x14ac:dyDescent="0.25">
      <c r="A4348" s="170"/>
      <c r="B4348" s="170"/>
    </row>
    <row r="4349" spans="1:2" x14ac:dyDescent="0.25">
      <c r="A4349" s="170"/>
      <c r="B4349" s="170"/>
    </row>
    <row r="4350" spans="1:2" x14ac:dyDescent="0.25">
      <c r="A4350" s="170"/>
      <c r="B4350" s="170"/>
    </row>
    <row r="4351" spans="1:2" x14ac:dyDescent="0.25">
      <c r="A4351" s="170"/>
      <c r="B4351" s="170"/>
    </row>
    <row r="4352" spans="1:2" x14ac:dyDescent="0.25">
      <c r="A4352" s="170"/>
      <c r="B4352" s="170"/>
    </row>
    <row r="4353" spans="1:2" x14ac:dyDescent="0.25">
      <c r="A4353" s="170"/>
      <c r="B4353" s="170"/>
    </row>
    <row r="4354" spans="1:2" x14ac:dyDescent="0.25">
      <c r="A4354" s="170"/>
      <c r="B4354" s="170"/>
    </row>
    <row r="4355" spans="1:2" x14ac:dyDescent="0.25">
      <c r="A4355" s="170"/>
      <c r="B4355" s="170"/>
    </row>
    <row r="4356" spans="1:2" x14ac:dyDescent="0.25">
      <c r="A4356" s="170"/>
      <c r="B4356" s="170"/>
    </row>
    <row r="4357" spans="1:2" x14ac:dyDescent="0.25">
      <c r="A4357" s="170"/>
      <c r="B4357" s="170"/>
    </row>
    <row r="4358" spans="1:2" x14ac:dyDescent="0.25">
      <c r="A4358" s="170"/>
      <c r="B4358" s="170"/>
    </row>
    <row r="4359" spans="1:2" x14ac:dyDescent="0.25">
      <c r="A4359" s="170"/>
      <c r="B4359" s="170"/>
    </row>
    <row r="4360" spans="1:2" x14ac:dyDescent="0.25">
      <c r="A4360" s="170"/>
      <c r="B4360" s="170"/>
    </row>
    <row r="4361" spans="1:2" x14ac:dyDescent="0.25">
      <c r="A4361" s="170"/>
      <c r="B4361" s="170"/>
    </row>
    <row r="4362" spans="1:2" x14ac:dyDescent="0.25">
      <c r="A4362" s="170"/>
      <c r="B4362" s="170"/>
    </row>
    <row r="4363" spans="1:2" x14ac:dyDescent="0.25">
      <c r="A4363" s="170"/>
      <c r="B4363" s="170"/>
    </row>
    <row r="4364" spans="1:2" x14ac:dyDescent="0.25">
      <c r="A4364" s="170"/>
      <c r="B4364" s="170"/>
    </row>
    <row r="4365" spans="1:2" x14ac:dyDescent="0.25">
      <c r="A4365" s="170"/>
      <c r="B4365" s="170"/>
    </row>
    <row r="4366" spans="1:2" x14ac:dyDescent="0.25">
      <c r="A4366" s="170"/>
      <c r="B4366" s="170"/>
    </row>
    <row r="4367" spans="1:2" x14ac:dyDescent="0.25">
      <c r="A4367" s="170"/>
      <c r="B4367" s="170"/>
    </row>
    <row r="4368" spans="1:2" x14ac:dyDescent="0.25">
      <c r="A4368" s="170"/>
      <c r="B4368" s="170"/>
    </row>
    <row r="4369" spans="1:2" x14ac:dyDescent="0.25">
      <c r="A4369" s="170"/>
      <c r="B4369" s="170"/>
    </row>
    <row r="4370" spans="1:2" x14ac:dyDescent="0.25">
      <c r="A4370" s="170"/>
      <c r="B4370" s="170"/>
    </row>
    <row r="4371" spans="1:2" x14ac:dyDescent="0.25">
      <c r="A4371" s="170"/>
      <c r="B4371" s="170"/>
    </row>
    <row r="4372" spans="1:2" x14ac:dyDescent="0.25">
      <c r="A4372" s="170"/>
      <c r="B4372" s="170"/>
    </row>
    <row r="4373" spans="1:2" x14ac:dyDescent="0.25">
      <c r="A4373" s="170"/>
      <c r="B4373" s="170"/>
    </row>
    <row r="4374" spans="1:2" x14ac:dyDescent="0.25">
      <c r="A4374" s="170"/>
      <c r="B4374" s="170"/>
    </row>
    <row r="4375" spans="1:2" x14ac:dyDescent="0.25">
      <c r="A4375" s="170"/>
      <c r="B4375" s="170"/>
    </row>
    <row r="4376" spans="1:2" x14ac:dyDescent="0.25">
      <c r="A4376" s="170"/>
      <c r="B4376" s="170"/>
    </row>
    <row r="4377" spans="1:2" x14ac:dyDescent="0.25">
      <c r="A4377" s="170"/>
      <c r="B4377" s="170"/>
    </row>
    <row r="4378" spans="1:2" x14ac:dyDescent="0.25">
      <c r="A4378" s="170"/>
      <c r="B4378" s="170"/>
    </row>
    <row r="4379" spans="1:2" x14ac:dyDescent="0.25">
      <c r="A4379" s="170"/>
      <c r="B4379" s="170"/>
    </row>
    <row r="4380" spans="1:2" x14ac:dyDescent="0.25">
      <c r="A4380" s="170"/>
      <c r="B4380" s="170"/>
    </row>
    <row r="4381" spans="1:2" x14ac:dyDescent="0.25">
      <c r="A4381" s="170"/>
      <c r="B4381" s="170"/>
    </row>
    <row r="4382" spans="1:2" x14ac:dyDescent="0.25">
      <c r="A4382" s="170"/>
      <c r="B4382" s="170"/>
    </row>
    <row r="4383" spans="1:2" x14ac:dyDescent="0.25">
      <c r="A4383" s="170"/>
      <c r="B4383" s="170"/>
    </row>
    <row r="4384" spans="1:2" x14ac:dyDescent="0.25">
      <c r="A4384" s="170"/>
      <c r="B4384" s="170"/>
    </row>
    <row r="4385" spans="1:2" x14ac:dyDescent="0.25">
      <c r="A4385" s="170"/>
      <c r="B4385" s="170"/>
    </row>
    <row r="4386" spans="1:2" x14ac:dyDescent="0.25">
      <c r="A4386" s="170"/>
      <c r="B4386" s="170"/>
    </row>
    <row r="4387" spans="1:2" x14ac:dyDescent="0.25">
      <c r="A4387" s="170"/>
      <c r="B4387" s="170"/>
    </row>
    <row r="4388" spans="1:2" x14ac:dyDescent="0.25">
      <c r="A4388" s="170"/>
      <c r="B4388" s="170"/>
    </row>
    <row r="4389" spans="1:2" x14ac:dyDescent="0.25">
      <c r="A4389" s="170"/>
      <c r="B4389" s="170"/>
    </row>
    <row r="4390" spans="1:2" x14ac:dyDescent="0.25">
      <c r="A4390" s="170"/>
      <c r="B4390" s="170"/>
    </row>
    <row r="4391" spans="1:2" x14ac:dyDescent="0.25">
      <c r="A4391" s="170"/>
      <c r="B4391" s="170"/>
    </row>
    <row r="4392" spans="1:2" x14ac:dyDescent="0.25">
      <c r="A4392" s="170"/>
      <c r="B4392" s="170"/>
    </row>
    <row r="4393" spans="1:2" x14ac:dyDescent="0.25">
      <c r="A4393" s="170"/>
      <c r="B4393" s="170"/>
    </row>
    <row r="4394" spans="1:2" x14ac:dyDescent="0.25">
      <c r="A4394" s="170"/>
      <c r="B4394" s="170"/>
    </row>
    <row r="4395" spans="1:2" x14ac:dyDescent="0.25">
      <c r="A4395" s="170"/>
      <c r="B4395" s="170"/>
    </row>
    <row r="4396" spans="1:2" x14ac:dyDescent="0.25">
      <c r="A4396" s="170"/>
      <c r="B4396" s="170"/>
    </row>
    <row r="4397" spans="1:2" x14ac:dyDescent="0.25">
      <c r="A4397" s="170"/>
      <c r="B4397" s="170"/>
    </row>
    <row r="4398" spans="1:2" x14ac:dyDescent="0.25">
      <c r="A4398" s="170"/>
      <c r="B4398" s="170"/>
    </row>
    <row r="4399" spans="1:2" x14ac:dyDescent="0.25">
      <c r="A4399" s="170"/>
      <c r="B4399" s="170"/>
    </row>
    <row r="4400" spans="1:2" x14ac:dyDescent="0.25">
      <c r="A4400" s="170"/>
      <c r="B4400" s="170"/>
    </row>
    <row r="4401" spans="1:2" x14ac:dyDescent="0.25">
      <c r="A4401" s="170"/>
      <c r="B4401" s="170"/>
    </row>
    <row r="4402" spans="1:2" x14ac:dyDescent="0.25">
      <c r="A4402" s="170"/>
      <c r="B4402" s="170"/>
    </row>
    <row r="4403" spans="1:2" x14ac:dyDescent="0.25">
      <c r="A4403" s="170"/>
      <c r="B4403" s="170"/>
    </row>
    <row r="4404" spans="1:2" x14ac:dyDescent="0.25">
      <c r="A4404" s="170"/>
      <c r="B4404" s="170"/>
    </row>
    <row r="4405" spans="1:2" x14ac:dyDescent="0.25">
      <c r="A4405" s="170"/>
      <c r="B4405" s="170"/>
    </row>
    <row r="4406" spans="1:2" x14ac:dyDescent="0.25">
      <c r="A4406" s="170"/>
      <c r="B4406" s="170"/>
    </row>
    <row r="4407" spans="1:2" x14ac:dyDescent="0.25">
      <c r="A4407" s="170"/>
      <c r="B4407" s="170"/>
    </row>
    <row r="4408" spans="1:2" x14ac:dyDescent="0.25">
      <c r="A4408" s="170"/>
      <c r="B4408" s="170"/>
    </row>
    <row r="4409" spans="1:2" x14ac:dyDescent="0.25">
      <c r="A4409" s="170"/>
      <c r="B4409" s="170"/>
    </row>
    <row r="4410" spans="1:2" x14ac:dyDescent="0.25">
      <c r="A4410" s="170"/>
      <c r="B4410" s="170"/>
    </row>
    <row r="4411" spans="1:2" x14ac:dyDescent="0.25">
      <c r="A4411" s="170"/>
      <c r="B4411" s="170"/>
    </row>
    <row r="4412" spans="1:2" x14ac:dyDescent="0.25">
      <c r="A4412" s="170"/>
      <c r="B4412" s="170"/>
    </row>
    <row r="4413" spans="1:2" x14ac:dyDescent="0.25">
      <c r="A4413" s="170"/>
      <c r="B4413" s="170"/>
    </row>
    <row r="4414" spans="1:2" x14ac:dyDescent="0.25">
      <c r="A4414" s="170"/>
      <c r="B4414" s="170"/>
    </row>
    <row r="4415" spans="1:2" x14ac:dyDescent="0.25">
      <c r="A4415" s="170"/>
      <c r="B4415" s="170"/>
    </row>
    <row r="4416" spans="1:2" x14ac:dyDescent="0.25">
      <c r="A4416" s="170"/>
      <c r="B4416" s="170"/>
    </row>
    <row r="4417" spans="1:2" x14ac:dyDescent="0.25">
      <c r="A4417" s="170"/>
      <c r="B4417" s="170"/>
    </row>
    <row r="4418" spans="1:2" x14ac:dyDescent="0.25">
      <c r="A4418" s="170"/>
      <c r="B4418" s="170"/>
    </row>
    <row r="4419" spans="1:2" x14ac:dyDescent="0.25">
      <c r="A4419" s="170"/>
      <c r="B4419" s="170"/>
    </row>
    <row r="4420" spans="1:2" x14ac:dyDescent="0.25">
      <c r="A4420" s="170"/>
      <c r="B4420" s="170"/>
    </row>
    <row r="4421" spans="1:2" x14ac:dyDescent="0.25">
      <c r="A4421" s="170"/>
      <c r="B4421" s="170"/>
    </row>
    <row r="4422" spans="1:2" x14ac:dyDescent="0.25">
      <c r="A4422" s="170"/>
      <c r="B4422" s="170"/>
    </row>
    <row r="4423" spans="1:2" x14ac:dyDescent="0.25">
      <c r="A4423" s="170"/>
      <c r="B4423" s="170"/>
    </row>
    <row r="4424" spans="1:2" x14ac:dyDescent="0.25">
      <c r="A4424" s="170"/>
      <c r="B4424" s="170"/>
    </row>
    <row r="4425" spans="1:2" x14ac:dyDescent="0.25">
      <c r="A4425" s="170"/>
      <c r="B4425" s="170"/>
    </row>
    <row r="4426" spans="1:2" x14ac:dyDescent="0.25">
      <c r="A4426" s="170"/>
      <c r="B4426" s="170"/>
    </row>
    <row r="4427" spans="1:2" x14ac:dyDescent="0.25">
      <c r="A4427" s="170"/>
      <c r="B4427" s="170"/>
    </row>
    <row r="4428" spans="1:2" x14ac:dyDescent="0.25">
      <c r="A4428" s="170"/>
      <c r="B4428" s="170"/>
    </row>
    <row r="4429" spans="1:2" x14ac:dyDescent="0.25">
      <c r="A4429" s="170"/>
      <c r="B4429" s="170"/>
    </row>
    <row r="4430" spans="1:2" x14ac:dyDescent="0.25">
      <c r="A4430" s="170"/>
      <c r="B4430" s="170"/>
    </row>
    <row r="4431" spans="1:2" x14ac:dyDescent="0.25">
      <c r="A4431" s="170"/>
      <c r="B4431" s="170"/>
    </row>
    <row r="4432" spans="1:2" x14ac:dyDescent="0.25">
      <c r="A4432" s="170"/>
      <c r="B4432" s="170"/>
    </row>
    <row r="4433" spans="1:2" x14ac:dyDescent="0.25">
      <c r="A4433" s="170"/>
      <c r="B4433" s="170"/>
    </row>
    <row r="4434" spans="1:2" x14ac:dyDescent="0.25">
      <c r="A4434" s="170"/>
      <c r="B4434" s="170"/>
    </row>
    <row r="4435" spans="1:2" x14ac:dyDescent="0.25">
      <c r="A4435" s="170"/>
      <c r="B4435" s="170"/>
    </row>
    <row r="4436" spans="1:2" x14ac:dyDescent="0.25">
      <c r="A4436" s="170"/>
      <c r="B4436" s="170"/>
    </row>
    <row r="4437" spans="1:2" x14ac:dyDescent="0.25">
      <c r="A4437" s="170"/>
      <c r="B4437" s="170"/>
    </row>
    <row r="4438" spans="1:2" x14ac:dyDescent="0.25">
      <c r="A4438" s="170"/>
      <c r="B4438" s="170"/>
    </row>
    <row r="4439" spans="1:2" x14ac:dyDescent="0.25">
      <c r="A4439" s="170"/>
      <c r="B4439" s="170"/>
    </row>
    <row r="4440" spans="1:2" x14ac:dyDescent="0.25">
      <c r="A4440" s="170"/>
      <c r="B4440" s="170"/>
    </row>
    <row r="4441" spans="1:2" x14ac:dyDescent="0.25">
      <c r="A4441" s="170"/>
      <c r="B4441" s="170"/>
    </row>
    <row r="4442" spans="1:2" x14ac:dyDescent="0.25">
      <c r="A4442" s="170"/>
      <c r="B4442" s="170"/>
    </row>
    <row r="4443" spans="1:2" x14ac:dyDescent="0.25">
      <c r="A4443" s="170"/>
      <c r="B4443" s="170"/>
    </row>
    <row r="4444" spans="1:2" x14ac:dyDescent="0.25">
      <c r="A4444" s="170"/>
      <c r="B4444" s="170"/>
    </row>
    <row r="4445" spans="1:2" x14ac:dyDescent="0.25">
      <c r="A4445" s="170"/>
      <c r="B4445" s="170"/>
    </row>
    <row r="4446" spans="1:2" x14ac:dyDescent="0.25">
      <c r="A4446" s="170"/>
      <c r="B4446" s="170"/>
    </row>
    <row r="4447" spans="1:2" x14ac:dyDescent="0.25">
      <c r="A4447" s="170"/>
      <c r="B4447" s="170"/>
    </row>
    <row r="4448" spans="1:2" x14ac:dyDescent="0.25">
      <c r="A4448" s="170"/>
      <c r="B4448" s="170"/>
    </row>
    <row r="4449" spans="1:2" x14ac:dyDescent="0.25">
      <c r="A4449" s="170"/>
      <c r="B4449" s="170"/>
    </row>
    <row r="4450" spans="1:2" x14ac:dyDescent="0.25">
      <c r="A4450" s="170"/>
      <c r="B4450" s="170"/>
    </row>
    <row r="4451" spans="1:2" x14ac:dyDescent="0.25">
      <c r="A4451" s="170"/>
      <c r="B4451" s="170"/>
    </row>
    <row r="4452" spans="1:2" x14ac:dyDescent="0.25">
      <c r="A4452" s="170"/>
      <c r="B4452" s="170"/>
    </row>
    <row r="4453" spans="1:2" x14ac:dyDescent="0.25">
      <c r="A4453" s="170"/>
      <c r="B4453" s="170"/>
    </row>
    <row r="4454" spans="1:2" x14ac:dyDescent="0.25">
      <c r="A4454" s="170"/>
      <c r="B4454" s="170"/>
    </row>
    <row r="4455" spans="1:2" x14ac:dyDescent="0.25">
      <c r="A4455" s="170"/>
      <c r="B4455" s="170"/>
    </row>
    <row r="4456" spans="1:2" x14ac:dyDescent="0.25">
      <c r="A4456" s="170"/>
      <c r="B4456" s="170"/>
    </row>
    <row r="4457" spans="1:2" x14ac:dyDescent="0.25">
      <c r="A4457" s="170"/>
      <c r="B4457" s="170"/>
    </row>
    <row r="4458" spans="1:2" x14ac:dyDescent="0.25">
      <c r="A4458" s="170"/>
      <c r="B4458" s="170"/>
    </row>
    <row r="4459" spans="1:2" x14ac:dyDescent="0.25">
      <c r="A4459" s="170"/>
      <c r="B4459" s="170"/>
    </row>
    <row r="4460" spans="1:2" x14ac:dyDescent="0.25">
      <c r="A4460" s="170"/>
      <c r="B4460" s="170"/>
    </row>
    <row r="4461" spans="1:2" x14ac:dyDescent="0.25">
      <c r="A4461" s="170"/>
      <c r="B4461" s="170"/>
    </row>
    <row r="4462" spans="1:2" x14ac:dyDescent="0.25">
      <c r="A4462" s="170"/>
      <c r="B4462" s="170"/>
    </row>
    <row r="4463" spans="1:2" x14ac:dyDescent="0.25">
      <c r="A4463" s="170"/>
      <c r="B4463" s="170"/>
    </row>
    <row r="4464" spans="1:2" x14ac:dyDescent="0.25">
      <c r="A4464" s="170"/>
      <c r="B4464" s="170"/>
    </row>
    <row r="4465" spans="1:2" x14ac:dyDescent="0.25">
      <c r="A4465" s="170"/>
      <c r="B4465" s="170"/>
    </row>
    <row r="4466" spans="1:2" x14ac:dyDescent="0.25">
      <c r="A4466" s="170"/>
      <c r="B4466" s="170"/>
    </row>
    <row r="4467" spans="1:2" x14ac:dyDescent="0.25">
      <c r="A4467" s="170"/>
      <c r="B4467" s="170"/>
    </row>
    <row r="4468" spans="1:2" x14ac:dyDescent="0.25">
      <c r="A4468" s="170"/>
      <c r="B4468" s="170"/>
    </row>
    <row r="4469" spans="1:2" x14ac:dyDescent="0.25">
      <c r="A4469" s="170"/>
      <c r="B4469" s="170"/>
    </row>
    <row r="4470" spans="1:2" x14ac:dyDescent="0.25">
      <c r="A4470" s="170"/>
      <c r="B4470" s="170"/>
    </row>
    <row r="4471" spans="1:2" x14ac:dyDescent="0.25">
      <c r="A4471" s="170"/>
      <c r="B4471" s="170"/>
    </row>
    <row r="4472" spans="1:2" x14ac:dyDescent="0.25">
      <c r="A4472" s="170"/>
      <c r="B4472" s="170"/>
    </row>
    <row r="4473" spans="1:2" x14ac:dyDescent="0.25">
      <c r="A4473" s="170"/>
      <c r="B4473" s="170"/>
    </row>
    <row r="4474" spans="1:2" x14ac:dyDescent="0.25">
      <c r="A4474" s="170"/>
      <c r="B4474" s="170"/>
    </row>
    <row r="4475" spans="1:2" x14ac:dyDescent="0.25">
      <c r="A4475" s="170"/>
      <c r="B4475" s="170"/>
    </row>
    <row r="4476" spans="1:2" x14ac:dyDescent="0.25">
      <c r="A4476" s="170"/>
      <c r="B4476" s="170"/>
    </row>
    <row r="4477" spans="1:2" x14ac:dyDescent="0.25">
      <c r="A4477" s="170"/>
      <c r="B4477" s="170"/>
    </row>
    <row r="4478" spans="1:2" x14ac:dyDescent="0.25">
      <c r="A4478" s="170"/>
      <c r="B4478" s="170"/>
    </row>
    <row r="4479" spans="1:2" x14ac:dyDescent="0.25">
      <c r="A4479" s="170"/>
      <c r="B4479" s="170"/>
    </row>
    <row r="4480" spans="1:2" x14ac:dyDescent="0.25">
      <c r="A4480" s="170"/>
      <c r="B4480" s="170"/>
    </row>
    <row r="4481" spans="1:2" x14ac:dyDescent="0.25">
      <c r="A4481" s="170"/>
      <c r="B4481" s="170"/>
    </row>
    <row r="4482" spans="1:2" x14ac:dyDescent="0.25">
      <c r="A4482" s="170"/>
      <c r="B4482" s="170"/>
    </row>
    <row r="4483" spans="1:2" x14ac:dyDescent="0.25">
      <c r="A4483" s="170"/>
      <c r="B4483" s="170"/>
    </row>
    <row r="4484" spans="1:2" x14ac:dyDescent="0.25">
      <c r="A4484" s="170"/>
      <c r="B4484" s="170"/>
    </row>
    <row r="4485" spans="1:2" x14ac:dyDescent="0.25">
      <c r="A4485" s="170"/>
      <c r="B4485" s="170"/>
    </row>
    <row r="4486" spans="1:2" x14ac:dyDescent="0.25">
      <c r="A4486" s="170"/>
      <c r="B4486" s="170"/>
    </row>
    <row r="4487" spans="1:2" x14ac:dyDescent="0.25">
      <c r="A4487" s="170"/>
      <c r="B4487" s="170"/>
    </row>
    <row r="4488" spans="1:2" x14ac:dyDescent="0.25">
      <c r="A4488" s="170"/>
      <c r="B4488" s="170"/>
    </row>
    <row r="4489" spans="1:2" x14ac:dyDescent="0.25">
      <c r="A4489" s="170"/>
      <c r="B4489" s="170"/>
    </row>
    <row r="4490" spans="1:2" x14ac:dyDescent="0.25">
      <c r="A4490" s="170"/>
      <c r="B4490" s="170"/>
    </row>
    <row r="4491" spans="1:2" x14ac:dyDescent="0.25">
      <c r="A4491" s="170"/>
      <c r="B4491" s="170"/>
    </row>
    <row r="4492" spans="1:2" x14ac:dyDescent="0.25">
      <c r="A4492" s="170"/>
      <c r="B4492" s="170"/>
    </row>
    <row r="4493" spans="1:2" x14ac:dyDescent="0.25">
      <c r="A4493" s="170"/>
      <c r="B4493" s="170"/>
    </row>
    <row r="4494" spans="1:2" x14ac:dyDescent="0.25">
      <c r="A4494" s="170"/>
      <c r="B4494" s="170"/>
    </row>
    <row r="4495" spans="1:2" x14ac:dyDescent="0.25">
      <c r="A4495" s="170"/>
      <c r="B4495" s="170"/>
    </row>
    <row r="4496" spans="1:2" x14ac:dyDescent="0.25">
      <c r="A4496" s="170"/>
      <c r="B4496" s="170"/>
    </row>
    <row r="4497" spans="1:2" x14ac:dyDescent="0.25">
      <c r="A4497" s="170"/>
      <c r="B4497" s="170"/>
    </row>
    <row r="4498" spans="1:2" x14ac:dyDescent="0.25">
      <c r="A4498" s="170"/>
      <c r="B4498" s="170"/>
    </row>
    <row r="4499" spans="1:2" x14ac:dyDescent="0.25">
      <c r="A4499" s="170"/>
      <c r="B4499" s="170"/>
    </row>
    <row r="4500" spans="1:2" x14ac:dyDescent="0.25">
      <c r="A4500" s="170"/>
      <c r="B4500" s="170"/>
    </row>
    <row r="4501" spans="1:2" x14ac:dyDescent="0.25">
      <c r="A4501" s="170"/>
      <c r="B4501" s="170"/>
    </row>
    <row r="4502" spans="1:2" x14ac:dyDescent="0.25">
      <c r="A4502" s="170"/>
      <c r="B4502" s="170"/>
    </row>
    <row r="4503" spans="1:2" x14ac:dyDescent="0.25">
      <c r="A4503" s="170"/>
      <c r="B4503" s="170"/>
    </row>
    <row r="4504" spans="1:2" x14ac:dyDescent="0.25">
      <c r="A4504" s="170"/>
      <c r="B4504" s="170"/>
    </row>
    <row r="4505" spans="1:2" x14ac:dyDescent="0.25">
      <c r="A4505" s="170"/>
      <c r="B4505" s="170"/>
    </row>
    <row r="4506" spans="1:2" x14ac:dyDescent="0.25">
      <c r="A4506" s="170"/>
      <c r="B4506" s="170"/>
    </row>
    <row r="4507" spans="1:2" x14ac:dyDescent="0.25">
      <c r="A4507" s="170"/>
      <c r="B4507" s="170"/>
    </row>
    <row r="4508" spans="1:2" x14ac:dyDescent="0.25">
      <c r="A4508" s="170"/>
      <c r="B4508" s="170"/>
    </row>
    <row r="4509" spans="1:2" x14ac:dyDescent="0.25">
      <c r="A4509" s="170"/>
      <c r="B4509" s="170"/>
    </row>
    <row r="4510" spans="1:2" x14ac:dyDescent="0.25">
      <c r="A4510" s="170"/>
      <c r="B4510" s="170"/>
    </row>
    <row r="4511" spans="1:2" x14ac:dyDescent="0.25">
      <c r="A4511" s="170"/>
      <c r="B4511" s="170"/>
    </row>
    <row r="4512" spans="1:2" x14ac:dyDescent="0.25">
      <c r="A4512" s="170"/>
      <c r="B4512" s="170"/>
    </row>
    <row r="4513" spans="1:2" x14ac:dyDescent="0.25">
      <c r="A4513" s="170"/>
      <c r="B4513" s="170"/>
    </row>
    <row r="4514" spans="1:2" x14ac:dyDescent="0.25">
      <c r="A4514" s="170"/>
      <c r="B4514" s="170"/>
    </row>
    <row r="4515" spans="1:2" x14ac:dyDescent="0.25">
      <c r="A4515" s="170"/>
      <c r="B4515" s="170"/>
    </row>
    <row r="4516" spans="1:2" x14ac:dyDescent="0.25">
      <c r="A4516" s="170"/>
      <c r="B4516" s="170"/>
    </row>
    <row r="4517" spans="1:2" x14ac:dyDescent="0.25">
      <c r="A4517" s="170"/>
      <c r="B4517" s="170"/>
    </row>
    <row r="4518" spans="1:2" x14ac:dyDescent="0.25">
      <c r="A4518" s="170"/>
      <c r="B4518" s="170"/>
    </row>
    <row r="4519" spans="1:2" x14ac:dyDescent="0.25">
      <c r="A4519" s="170"/>
      <c r="B4519" s="170"/>
    </row>
    <row r="4520" spans="1:2" x14ac:dyDescent="0.25">
      <c r="A4520" s="170"/>
      <c r="B4520" s="170"/>
    </row>
    <row r="4521" spans="1:2" x14ac:dyDescent="0.25">
      <c r="A4521" s="170"/>
      <c r="B4521" s="170"/>
    </row>
    <row r="4522" spans="1:2" x14ac:dyDescent="0.25">
      <c r="A4522" s="170"/>
      <c r="B4522" s="170"/>
    </row>
    <row r="4523" spans="1:2" x14ac:dyDescent="0.25">
      <c r="A4523" s="170"/>
      <c r="B4523" s="170"/>
    </row>
    <row r="4524" spans="1:2" x14ac:dyDescent="0.25">
      <c r="A4524" s="170"/>
      <c r="B4524" s="170"/>
    </row>
    <row r="4525" spans="1:2" x14ac:dyDescent="0.25">
      <c r="A4525" s="170"/>
      <c r="B4525" s="170"/>
    </row>
    <row r="4526" spans="1:2" x14ac:dyDescent="0.25">
      <c r="A4526" s="170"/>
      <c r="B4526" s="170"/>
    </row>
    <row r="4527" spans="1:2" x14ac:dyDescent="0.25">
      <c r="A4527" s="170"/>
      <c r="B4527" s="170"/>
    </row>
    <row r="4528" spans="1:2" x14ac:dyDescent="0.25">
      <c r="A4528" s="170"/>
      <c r="B4528" s="170"/>
    </row>
    <row r="4529" spans="1:2" x14ac:dyDescent="0.25">
      <c r="A4529" s="170"/>
      <c r="B4529" s="170"/>
    </row>
    <row r="4530" spans="1:2" x14ac:dyDescent="0.25">
      <c r="A4530" s="170"/>
      <c r="B4530" s="170"/>
    </row>
    <row r="4531" spans="1:2" x14ac:dyDescent="0.25">
      <c r="A4531" s="170"/>
      <c r="B4531" s="170"/>
    </row>
    <row r="4532" spans="1:2" x14ac:dyDescent="0.25">
      <c r="A4532" s="170"/>
      <c r="B4532" s="170"/>
    </row>
    <row r="4533" spans="1:2" x14ac:dyDescent="0.25">
      <c r="A4533" s="170"/>
      <c r="B4533" s="170"/>
    </row>
    <row r="4534" spans="1:2" x14ac:dyDescent="0.25">
      <c r="A4534" s="170"/>
      <c r="B4534" s="170"/>
    </row>
    <row r="4535" spans="1:2" x14ac:dyDescent="0.25">
      <c r="A4535" s="170"/>
      <c r="B4535" s="170"/>
    </row>
    <row r="4536" spans="1:2" x14ac:dyDescent="0.25">
      <c r="A4536" s="170"/>
      <c r="B4536" s="170"/>
    </row>
    <row r="4537" spans="1:2" x14ac:dyDescent="0.25">
      <c r="A4537" s="170"/>
      <c r="B4537" s="170"/>
    </row>
    <row r="4538" spans="1:2" x14ac:dyDescent="0.25">
      <c r="A4538" s="170"/>
      <c r="B4538" s="170"/>
    </row>
    <row r="4539" spans="1:2" x14ac:dyDescent="0.25">
      <c r="A4539" s="170"/>
      <c r="B4539" s="170"/>
    </row>
    <row r="4540" spans="1:2" x14ac:dyDescent="0.25">
      <c r="A4540" s="170"/>
      <c r="B4540" s="170"/>
    </row>
    <row r="4541" spans="1:2" x14ac:dyDescent="0.25">
      <c r="A4541" s="170"/>
      <c r="B4541" s="170"/>
    </row>
    <row r="4542" spans="1:2" x14ac:dyDescent="0.25">
      <c r="A4542" s="170"/>
      <c r="B4542" s="170"/>
    </row>
    <row r="4543" spans="1:2" x14ac:dyDescent="0.25">
      <c r="A4543" s="170"/>
      <c r="B4543" s="170"/>
    </row>
    <row r="4544" spans="1:2" x14ac:dyDescent="0.25">
      <c r="A4544" s="170"/>
      <c r="B4544" s="170"/>
    </row>
    <row r="4545" spans="1:2" x14ac:dyDescent="0.25">
      <c r="A4545" s="170"/>
      <c r="B4545" s="170"/>
    </row>
    <row r="4546" spans="1:2" x14ac:dyDescent="0.25">
      <c r="A4546" s="170"/>
      <c r="B4546" s="170"/>
    </row>
    <row r="4547" spans="1:2" x14ac:dyDescent="0.25">
      <c r="A4547" s="170"/>
      <c r="B4547" s="170"/>
    </row>
    <row r="4548" spans="1:2" x14ac:dyDescent="0.25">
      <c r="A4548" s="170"/>
      <c r="B4548" s="170"/>
    </row>
    <row r="4549" spans="1:2" x14ac:dyDescent="0.25">
      <c r="A4549" s="170"/>
      <c r="B4549" s="170"/>
    </row>
    <row r="4550" spans="1:2" x14ac:dyDescent="0.25">
      <c r="A4550" s="170"/>
      <c r="B4550" s="170"/>
    </row>
    <row r="4551" spans="1:2" x14ac:dyDescent="0.25">
      <c r="A4551" s="170"/>
      <c r="B4551" s="170"/>
    </row>
    <row r="4552" spans="1:2" x14ac:dyDescent="0.25">
      <c r="A4552" s="170"/>
      <c r="B4552" s="170"/>
    </row>
    <row r="4553" spans="1:2" x14ac:dyDescent="0.25">
      <c r="A4553" s="170"/>
      <c r="B4553" s="170"/>
    </row>
    <row r="4554" spans="1:2" x14ac:dyDescent="0.25">
      <c r="A4554" s="170"/>
      <c r="B4554" s="170"/>
    </row>
    <row r="4555" spans="1:2" x14ac:dyDescent="0.25">
      <c r="A4555" s="170"/>
      <c r="B4555" s="170"/>
    </row>
    <row r="4556" spans="1:2" x14ac:dyDescent="0.25">
      <c r="A4556" s="170"/>
      <c r="B4556" s="170"/>
    </row>
    <row r="4557" spans="1:2" x14ac:dyDescent="0.25">
      <c r="A4557" s="170"/>
      <c r="B4557" s="170"/>
    </row>
    <row r="4558" spans="1:2" x14ac:dyDescent="0.25">
      <c r="A4558" s="170"/>
      <c r="B4558" s="170"/>
    </row>
    <row r="4559" spans="1:2" x14ac:dyDescent="0.25">
      <c r="A4559" s="170"/>
      <c r="B4559" s="170"/>
    </row>
    <row r="4560" spans="1:2" x14ac:dyDescent="0.25">
      <c r="A4560" s="170"/>
      <c r="B4560" s="170"/>
    </row>
    <row r="4561" spans="1:2" x14ac:dyDescent="0.25">
      <c r="A4561" s="170"/>
      <c r="B4561" s="170"/>
    </row>
    <row r="4562" spans="1:2" x14ac:dyDescent="0.25">
      <c r="A4562" s="170"/>
      <c r="B4562" s="170"/>
    </row>
    <row r="4563" spans="1:2" x14ac:dyDescent="0.25">
      <c r="A4563" s="170"/>
      <c r="B4563" s="170"/>
    </row>
    <row r="4564" spans="1:2" x14ac:dyDescent="0.25">
      <c r="A4564" s="170"/>
      <c r="B4564" s="170"/>
    </row>
    <row r="4565" spans="1:2" x14ac:dyDescent="0.25">
      <c r="A4565" s="170"/>
      <c r="B4565" s="170"/>
    </row>
    <row r="4566" spans="1:2" x14ac:dyDescent="0.25">
      <c r="A4566" s="170"/>
      <c r="B4566" s="170"/>
    </row>
    <row r="4567" spans="1:2" x14ac:dyDescent="0.25">
      <c r="A4567" s="170"/>
      <c r="B4567" s="170"/>
    </row>
    <row r="4568" spans="1:2" x14ac:dyDescent="0.25">
      <c r="A4568" s="170"/>
      <c r="B4568" s="170"/>
    </row>
    <row r="4569" spans="1:2" x14ac:dyDescent="0.25">
      <c r="A4569" s="170"/>
      <c r="B4569" s="170"/>
    </row>
    <row r="4570" spans="1:2" x14ac:dyDescent="0.25">
      <c r="A4570" s="170"/>
      <c r="B4570" s="170"/>
    </row>
    <row r="4571" spans="1:2" x14ac:dyDescent="0.25">
      <c r="A4571" s="170"/>
      <c r="B4571" s="170"/>
    </row>
    <row r="4572" spans="1:2" x14ac:dyDescent="0.25">
      <c r="A4572" s="170"/>
      <c r="B4572" s="170"/>
    </row>
    <row r="4573" spans="1:2" x14ac:dyDescent="0.25">
      <c r="A4573" s="170"/>
      <c r="B4573" s="170"/>
    </row>
    <row r="4574" spans="1:2" x14ac:dyDescent="0.25">
      <c r="A4574" s="170"/>
      <c r="B4574" s="170"/>
    </row>
    <row r="4575" spans="1:2" x14ac:dyDescent="0.25">
      <c r="A4575" s="170"/>
      <c r="B4575" s="170"/>
    </row>
    <row r="4576" spans="1:2" x14ac:dyDescent="0.25">
      <c r="A4576" s="170"/>
      <c r="B4576" s="170"/>
    </row>
    <row r="4577" spans="1:2" x14ac:dyDescent="0.25">
      <c r="A4577" s="170"/>
      <c r="B4577" s="170"/>
    </row>
    <row r="4578" spans="1:2" x14ac:dyDescent="0.25">
      <c r="A4578" s="170"/>
      <c r="B4578" s="170"/>
    </row>
    <row r="4579" spans="1:2" x14ac:dyDescent="0.25">
      <c r="A4579" s="170"/>
      <c r="B4579" s="170"/>
    </row>
    <row r="4580" spans="1:2" x14ac:dyDescent="0.25">
      <c r="A4580" s="170"/>
      <c r="B4580" s="170"/>
    </row>
    <row r="4581" spans="1:2" x14ac:dyDescent="0.25">
      <c r="A4581" s="170"/>
      <c r="B4581" s="170"/>
    </row>
    <row r="4582" spans="1:2" x14ac:dyDescent="0.25">
      <c r="A4582" s="170"/>
      <c r="B4582" s="170"/>
    </row>
    <row r="4583" spans="1:2" x14ac:dyDescent="0.25">
      <c r="A4583" s="170"/>
      <c r="B4583" s="170"/>
    </row>
    <row r="4584" spans="1:2" x14ac:dyDescent="0.25">
      <c r="A4584" s="170"/>
      <c r="B4584" s="170"/>
    </row>
    <row r="4585" spans="1:2" x14ac:dyDescent="0.25">
      <c r="A4585" s="170"/>
      <c r="B4585" s="170"/>
    </row>
    <row r="4586" spans="1:2" x14ac:dyDescent="0.25">
      <c r="A4586" s="170"/>
      <c r="B4586" s="170"/>
    </row>
    <row r="4587" spans="1:2" x14ac:dyDescent="0.25">
      <c r="A4587" s="170"/>
      <c r="B4587" s="170"/>
    </row>
    <row r="4588" spans="1:2" x14ac:dyDescent="0.25">
      <c r="A4588" s="170"/>
      <c r="B4588" s="170"/>
    </row>
    <row r="4589" spans="1:2" x14ac:dyDescent="0.25">
      <c r="A4589" s="170"/>
      <c r="B4589" s="170"/>
    </row>
    <row r="4590" spans="1:2" x14ac:dyDescent="0.25">
      <c r="A4590" s="170"/>
      <c r="B4590" s="170"/>
    </row>
    <row r="4591" spans="1:2" x14ac:dyDescent="0.25">
      <c r="A4591" s="170"/>
      <c r="B4591" s="170"/>
    </row>
    <row r="4592" spans="1:2" x14ac:dyDescent="0.25">
      <c r="A4592" s="170"/>
      <c r="B4592" s="170"/>
    </row>
    <row r="4593" spans="1:2" x14ac:dyDescent="0.25">
      <c r="A4593" s="170"/>
      <c r="B4593" s="170"/>
    </row>
    <row r="4594" spans="1:2" x14ac:dyDescent="0.25">
      <c r="A4594" s="170"/>
      <c r="B4594" s="170"/>
    </row>
    <row r="4595" spans="1:2" x14ac:dyDescent="0.25">
      <c r="A4595" s="170"/>
      <c r="B4595" s="170"/>
    </row>
    <row r="4596" spans="1:2" x14ac:dyDescent="0.25">
      <c r="A4596" s="170"/>
      <c r="B4596" s="170"/>
    </row>
    <row r="4597" spans="1:2" x14ac:dyDescent="0.25">
      <c r="A4597" s="170"/>
      <c r="B4597" s="170"/>
    </row>
    <row r="4598" spans="1:2" x14ac:dyDescent="0.25">
      <c r="A4598" s="170"/>
      <c r="B4598" s="170"/>
    </row>
    <row r="4599" spans="1:2" x14ac:dyDescent="0.25">
      <c r="A4599" s="170"/>
      <c r="B4599" s="170"/>
    </row>
    <row r="4600" spans="1:2" x14ac:dyDescent="0.25">
      <c r="A4600" s="170"/>
      <c r="B4600" s="170"/>
    </row>
    <row r="4601" spans="1:2" x14ac:dyDescent="0.25">
      <c r="A4601" s="170"/>
      <c r="B4601" s="170"/>
    </row>
    <row r="4602" spans="1:2" x14ac:dyDescent="0.25">
      <c r="A4602" s="170"/>
      <c r="B4602" s="170"/>
    </row>
    <row r="4603" spans="1:2" x14ac:dyDescent="0.25">
      <c r="A4603" s="170"/>
      <c r="B4603" s="170"/>
    </row>
    <row r="4604" spans="1:2" x14ac:dyDescent="0.25">
      <c r="A4604" s="170"/>
      <c r="B4604" s="170"/>
    </row>
    <row r="4605" spans="1:2" x14ac:dyDescent="0.25">
      <c r="A4605" s="170"/>
      <c r="B4605" s="170"/>
    </row>
    <row r="4606" spans="1:2" x14ac:dyDescent="0.25">
      <c r="A4606" s="170"/>
      <c r="B4606" s="170"/>
    </row>
    <row r="4607" spans="1:2" x14ac:dyDescent="0.25">
      <c r="A4607" s="170"/>
      <c r="B4607" s="170"/>
    </row>
    <row r="4608" spans="1:2" x14ac:dyDescent="0.25">
      <c r="A4608" s="170"/>
      <c r="B4608" s="170"/>
    </row>
    <row r="4609" spans="1:2" x14ac:dyDescent="0.25">
      <c r="A4609" s="170"/>
      <c r="B4609" s="170"/>
    </row>
    <row r="4610" spans="1:2" x14ac:dyDescent="0.25">
      <c r="A4610" s="170"/>
      <c r="B4610" s="170"/>
    </row>
    <row r="4611" spans="1:2" x14ac:dyDescent="0.25">
      <c r="A4611" s="170"/>
      <c r="B4611" s="170"/>
    </row>
    <row r="4612" spans="1:2" x14ac:dyDescent="0.25">
      <c r="A4612" s="170"/>
      <c r="B4612" s="170"/>
    </row>
    <row r="4613" spans="1:2" x14ac:dyDescent="0.25">
      <c r="A4613" s="170"/>
      <c r="B4613" s="170"/>
    </row>
    <row r="4614" spans="1:2" x14ac:dyDescent="0.25">
      <c r="A4614" s="170"/>
      <c r="B4614" s="170"/>
    </row>
    <row r="4615" spans="1:2" x14ac:dyDescent="0.25">
      <c r="A4615" s="170"/>
      <c r="B4615" s="170"/>
    </row>
    <row r="4616" spans="1:2" x14ac:dyDescent="0.25">
      <c r="A4616" s="170"/>
      <c r="B4616" s="170"/>
    </row>
    <row r="4617" spans="1:2" x14ac:dyDescent="0.25">
      <c r="A4617" s="170"/>
      <c r="B4617" s="170"/>
    </row>
    <row r="4618" spans="1:2" x14ac:dyDescent="0.25">
      <c r="A4618" s="170"/>
      <c r="B4618" s="170"/>
    </row>
    <row r="4619" spans="1:2" x14ac:dyDescent="0.25">
      <c r="A4619" s="170"/>
      <c r="B4619" s="170"/>
    </row>
    <row r="4620" spans="1:2" x14ac:dyDescent="0.25">
      <c r="A4620" s="170"/>
      <c r="B4620" s="170"/>
    </row>
    <row r="4621" spans="1:2" x14ac:dyDescent="0.25">
      <c r="A4621" s="170"/>
      <c r="B4621" s="170"/>
    </row>
    <row r="4622" spans="1:2" x14ac:dyDescent="0.25">
      <c r="A4622" s="170"/>
      <c r="B4622" s="170"/>
    </row>
    <row r="4623" spans="1:2" x14ac:dyDescent="0.25">
      <c r="A4623" s="170"/>
      <c r="B4623" s="170"/>
    </row>
    <row r="4624" spans="1:2" x14ac:dyDescent="0.25">
      <c r="A4624" s="170"/>
      <c r="B4624" s="170"/>
    </row>
    <row r="4625" spans="1:2" x14ac:dyDescent="0.25">
      <c r="A4625" s="170"/>
      <c r="B4625" s="170"/>
    </row>
    <row r="4626" spans="1:2" x14ac:dyDescent="0.25">
      <c r="A4626" s="170"/>
      <c r="B4626" s="170"/>
    </row>
    <row r="4627" spans="1:2" x14ac:dyDescent="0.25">
      <c r="A4627" s="170"/>
      <c r="B4627" s="170"/>
    </row>
    <row r="4628" spans="1:2" x14ac:dyDescent="0.25">
      <c r="A4628" s="170"/>
      <c r="B4628" s="170"/>
    </row>
    <row r="4629" spans="1:2" x14ac:dyDescent="0.25">
      <c r="A4629" s="170"/>
      <c r="B4629" s="170"/>
    </row>
    <row r="4630" spans="1:2" x14ac:dyDescent="0.25">
      <c r="A4630" s="170"/>
      <c r="B4630" s="170"/>
    </row>
    <row r="4631" spans="1:2" x14ac:dyDescent="0.25">
      <c r="A4631" s="170"/>
      <c r="B4631" s="170"/>
    </row>
    <row r="4632" spans="1:2" x14ac:dyDescent="0.25">
      <c r="A4632" s="170"/>
      <c r="B4632" s="170"/>
    </row>
    <row r="4633" spans="1:2" x14ac:dyDescent="0.25">
      <c r="A4633" s="170"/>
      <c r="B4633" s="170"/>
    </row>
    <row r="4634" spans="1:2" x14ac:dyDescent="0.25">
      <c r="A4634" s="170"/>
      <c r="B4634" s="170"/>
    </row>
    <row r="4635" spans="1:2" x14ac:dyDescent="0.25">
      <c r="A4635" s="170"/>
      <c r="B4635" s="170"/>
    </row>
    <row r="4636" spans="1:2" x14ac:dyDescent="0.25">
      <c r="A4636" s="170"/>
      <c r="B4636" s="170"/>
    </row>
    <row r="4637" spans="1:2" x14ac:dyDescent="0.25">
      <c r="A4637" s="170"/>
      <c r="B4637" s="170"/>
    </row>
    <row r="4638" spans="1:2" x14ac:dyDescent="0.25">
      <c r="A4638" s="170"/>
      <c r="B4638" s="170"/>
    </row>
    <row r="4639" spans="1:2" x14ac:dyDescent="0.25">
      <c r="A4639" s="170"/>
      <c r="B4639" s="170"/>
    </row>
    <row r="4640" spans="1:2" x14ac:dyDescent="0.25">
      <c r="A4640" s="170"/>
      <c r="B4640" s="170"/>
    </row>
    <row r="4641" spans="1:2" x14ac:dyDescent="0.25">
      <c r="A4641" s="170"/>
      <c r="B4641" s="170"/>
    </row>
    <row r="4642" spans="1:2" x14ac:dyDescent="0.25">
      <c r="A4642" s="170"/>
      <c r="B4642" s="170"/>
    </row>
    <row r="4643" spans="1:2" x14ac:dyDescent="0.25">
      <c r="A4643" s="170"/>
      <c r="B4643" s="170"/>
    </row>
    <row r="4644" spans="1:2" x14ac:dyDescent="0.25">
      <c r="A4644" s="170"/>
      <c r="B4644" s="170"/>
    </row>
    <row r="4645" spans="1:2" x14ac:dyDescent="0.25">
      <c r="A4645" s="170"/>
      <c r="B4645" s="170"/>
    </row>
    <row r="4646" spans="1:2" x14ac:dyDescent="0.25">
      <c r="A4646" s="170"/>
      <c r="B4646" s="170"/>
    </row>
    <row r="4647" spans="1:2" x14ac:dyDescent="0.25">
      <c r="A4647" s="170"/>
      <c r="B4647" s="170"/>
    </row>
    <row r="4648" spans="1:2" x14ac:dyDescent="0.25">
      <c r="A4648" s="170"/>
      <c r="B4648" s="170"/>
    </row>
    <row r="4649" spans="1:2" x14ac:dyDescent="0.25">
      <c r="A4649" s="170"/>
      <c r="B4649" s="170"/>
    </row>
    <row r="4650" spans="1:2" x14ac:dyDescent="0.25">
      <c r="A4650" s="170"/>
      <c r="B4650" s="170"/>
    </row>
    <row r="4651" spans="1:2" x14ac:dyDescent="0.25">
      <c r="A4651" s="170"/>
      <c r="B4651" s="170"/>
    </row>
    <row r="4652" spans="1:2" x14ac:dyDescent="0.25">
      <c r="A4652" s="170"/>
      <c r="B4652" s="170"/>
    </row>
    <row r="4653" spans="1:2" x14ac:dyDescent="0.25">
      <c r="A4653" s="170"/>
      <c r="B4653" s="170"/>
    </row>
    <row r="4654" spans="1:2" x14ac:dyDescent="0.25">
      <c r="A4654" s="170"/>
      <c r="B4654" s="170"/>
    </row>
    <row r="4655" spans="1:2" x14ac:dyDescent="0.25">
      <c r="A4655" s="170"/>
      <c r="B4655" s="170"/>
    </row>
    <row r="4656" spans="1:2" x14ac:dyDescent="0.25">
      <c r="A4656" s="170"/>
      <c r="B4656" s="170"/>
    </row>
    <row r="4657" spans="1:2" x14ac:dyDescent="0.25">
      <c r="A4657" s="170"/>
      <c r="B4657" s="170"/>
    </row>
    <row r="4658" spans="1:2" x14ac:dyDescent="0.25">
      <c r="A4658" s="170"/>
      <c r="B4658" s="170"/>
    </row>
    <row r="4659" spans="1:2" x14ac:dyDescent="0.25">
      <c r="A4659" s="170"/>
      <c r="B4659" s="170"/>
    </row>
    <row r="4660" spans="1:2" x14ac:dyDescent="0.25">
      <c r="A4660" s="170"/>
      <c r="B4660" s="170"/>
    </row>
    <row r="4661" spans="1:2" x14ac:dyDescent="0.25">
      <c r="A4661" s="170"/>
      <c r="B4661" s="170"/>
    </row>
    <row r="4662" spans="1:2" x14ac:dyDescent="0.25">
      <c r="A4662" s="170"/>
      <c r="B4662" s="170"/>
    </row>
    <row r="4663" spans="1:2" x14ac:dyDescent="0.25">
      <c r="A4663" s="170"/>
      <c r="B4663" s="170"/>
    </row>
    <row r="4664" spans="1:2" x14ac:dyDescent="0.25">
      <c r="A4664" s="170"/>
      <c r="B4664" s="170"/>
    </row>
    <row r="4665" spans="1:2" x14ac:dyDescent="0.25">
      <c r="A4665" s="170"/>
      <c r="B4665" s="170"/>
    </row>
    <row r="4666" spans="1:2" x14ac:dyDescent="0.25">
      <c r="A4666" s="170"/>
      <c r="B4666" s="170"/>
    </row>
    <row r="4667" spans="1:2" x14ac:dyDescent="0.25">
      <c r="A4667" s="170"/>
      <c r="B4667" s="170"/>
    </row>
    <row r="4668" spans="1:2" x14ac:dyDescent="0.25">
      <c r="A4668" s="170"/>
      <c r="B4668" s="170"/>
    </row>
    <row r="4669" spans="1:2" x14ac:dyDescent="0.25">
      <c r="A4669" s="170"/>
      <c r="B4669" s="170"/>
    </row>
    <row r="4670" spans="1:2" x14ac:dyDescent="0.25">
      <c r="A4670" s="170"/>
      <c r="B4670" s="170"/>
    </row>
    <row r="4671" spans="1:2" x14ac:dyDescent="0.25">
      <c r="A4671" s="170"/>
      <c r="B4671" s="170"/>
    </row>
    <row r="4672" spans="1:2" x14ac:dyDescent="0.25">
      <c r="A4672" s="170"/>
      <c r="B4672" s="170"/>
    </row>
    <row r="4673" spans="1:2" x14ac:dyDescent="0.25">
      <c r="A4673" s="170"/>
      <c r="B4673" s="170"/>
    </row>
    <row r="4674" spans="1:2" x14ac:dyDescent="0.25">
      <c r="A4674" s="170"/>
      <c r="B4674" s="170"/>
    </row>
    <row r="4675" spans="1:2" x14ac:dyDescent="0.25">
      <c r="A4675" s="170"/>
      <c r="B4675" s="170"/>
    </row>
    <row r="4676" spans="1:2" x14ac:dyDescent="0.25">
      <c r="A4676" s="170"/>
      <c r="B4676" s="170"/>
    </row>
    <row r="4677" spans="1:2" x14ac:dyDescent="0.25">
      <c r="A4677" s="170"/>
      <c r="B4677" s="170"/>
    </row>
    <row r="4678" spans="1:2" x14ac:dyDescent="0.25">
      <c r="A4678" s="170"/>
      <c r="B4678" s="170"/>
    </row>
    <row r="4679" spans="1:2" x14ac:dyDescent="0.25">
      <c r="A4679" s="170"/>
      <c r="B4679" s="170"/>
    </row>
    <row r="4680" spans="1:2" x14ac:dyDescent="0.25">
      <c r="A4680" s="170"/>
      <c r="B4680" s="170"/>
    </row>
    <row r="4681" spans="1:2" x14ac:dyDescent="0.25">
      <c r="A4681" s="170"/>
      <c r="B4681" s="170"/>
    </row>
    <row r="4682" spans="1:2" x14ac:dyDescent="0.25">
      <c r="A4682" s="170"/>
      <c r="B4682" s="170"/>
    </row>
    <row r="4683" spans="1:2" x14ac:dyDescent="0.25">
      <c r="A4683" s="170"/>
      <c r="B4683" s="170"/>
    </row>
    <row r="4684" spans="1:2" x14ac:dyDescent="0.25">
      <c r="A4684" s="170"/>
      <c r="B4684" s="170"/>
    </row>
    <row r="4685" spans="1:2" x14ac:dyDescent="0.25">
      <c r="A4685" s="170"/>
      <c r="B4685" s="170"/>
    </row>
    <row r="4686" spans="1:2" x14ac:dyDescent="0.25">
      <c r="A4686" s="170"/>
      <c r="B4686" s="170"/>
    </row>
    <row r="4687" spans="1:2" x14ac:dyDescent="0.25">
      <c r="A4687" s="170"/>
      <c r="B4687" s="170"/>
    </row>
    <row r="4688" spans="1:2" x14ac:dyDescent="0.25">
      <c r="A4688" s="170"/>
      <c r="B4688" s="170"/>
    </row>
    <row r="4689" spans="1:2" x14ac:dyDescent="0.25">
      <c r="A4689" s="170"/>
      <c r="B4689" s="170"/>
    </row>
    <row r="4690" spans="1:2" x14ac:dyDescent="0.25">
      <c r="A4690" s="170"/>
      <c r="B4690" s="170"/>
    </row>
    <row r="4691" spans="1:2" x14ac:dyDescent="0.25">
      <c r="A4691" s="170"/>
      <c r="B4691" s="170"/>
    </row>
    <row r="4692" spans="1:2" x14ac:dyDescent="0.25">
      <c r="A4692" s="170"/>
      <c r="B4692" s="170"/>
    </row>
    <row r="4693" spans="1:2" x14ac:dyDescent="0.25">
      <c r="A4693" s="170"/>
      <c r="B4693" s="170"/>
    </row>
    <row r="4694" spans="1:2" x14ac:dyDescent="0.25">
      <c r="A4694" s="170"/>
      <c r="B4694" s="170"/>
    </row>
    <row r="4695" spans="1:2" x14ac:dyDescent="0.25">
      <c r="A4695" s="170"/>
      <c r="B4695" s="170"/>
    </row>
    <row r="4696" spans="1:2" x14ac:dyDescent="0.25">
      <c r="A4696" s="170"/>
      <c r="B4696" s="170"/>
    </row>
    <row r="4697" spans="1:2" x14ac:dyDescent="0.25">
      <c r="A4697" s="170"/>
      <c r="B4697" s="170"/>
    </row>
    <row r="4698" spans="1:2" x14ac:dyDescent="0.25">
      <c r="A4698" s="170"/>
      <c r="B4698" s="170"/>
    </row>
    <row r="4699" spans="1:2" x14ac:dyDescent="0.25">
      <c r="A4699" s="170"/>
      <c r="B4699" s="170"/>
    </row>
    <row r="4700" spans="1:2" x14ac:dyDescent="0.25">
      <c r="A4700" s="170"/>
      <c r="B4700" s="170"/>
    </row>
    <row r="4701" spans="1:2" x14ac:dyDescent="0.25">
      <c r="A4701" s="170"/>
      <c r="B4701" s="170"/>
    </row>
    <row r="4702" spans="1:2" x14ac:dyDescent="0.25">
      <c r="A4702" s="170"/>
      <c r="B4702" s="170"/>
    </row>
    <row r="4703" spans="1:2" x14ac:dyDescent="0.25">
      <c r="A4703" s="170"/>
      <c r="B4703" s="170"/>
    </row>
    <row r="4704" spans="1:2" x14ac:dyDescent="0.25">
      <c r="A4704" s="170"/>
      <c r="B4704" s="170"/>
    </row>
    <row r="4705" spans="1:2" x14ac:dyDescent="0.25">
      <c r="A4705" s="170"/>
      <c r="B4705" s="170"/>
    </row>
    <row r="4706" spans="1:2" x14ac:dyDescent="0.25">
      <c r="A4706" s="170"/>
      <c r="B4706" s="170"/>
    </row>
    <row r="4707" spans="1:2" x14ac:dyDescent="0.25">
      <c r="A4707" s="170"/>
      <c r="B4707" s="170"/>
    </row>
    <row r="4708" spans="1:2" x14ac:dyDescent="0.25">
      <c r="A4708" s="170"/>
      <c r="B4708" s="170"/>
    </row>
    <row r="4709" spans="1:2" x14ac:dyDescent="0.25">
      <c r="A4709" s="170"/>
      <c r="B4709" s="170"/>
    </row>
    <row r="4710" spans="1:2" x14ac:dyDescent="0.25">
      <c r="A4710" s="170"/>
      <c r="B4710" s="170"/>
    </row>
    <row r="4711" spans="1:2" x14ac:dyDescent="0.25">
      <c r="A4711" s="170"/>
      <c r="B4711" s="170"/>
    </row>
    <row r="4712" spans="1:2" x14ac:dyDescent="0.25">
      <c r="A4712" s="170"/>
      <c r="B4712" s="170"/>
    </row>
    <row r="4713" spans="1:2" x14ac:dyDescent="0.25">
      <c r="A4713" s="170"/>
      <c r="B4713" s="170"/>
    </row>
    <row r="4714" spans="1:2" x14ac:dyDescent="0.25">
      <c r="A4714" s="170"/>
      <c r="B4714" s="170"/>
    </row>
    <row r="4715" spans="1:2" x14ac:dyDescent="0.25">
      <c r="A4715" s="170"/>
      <c r="B4715" s="170"/>
    </row>
    <row r="4716" spans="1:2" x14ac:dyDescent="0.25">
      <c r="A4716" s="170"/>
      <c r="B4716" s="170"/>
    </row>
    <row r="4717" spans="1:2" x14ac:dyDescent="0.25">
      <c r="A4717" s="170"/>
      <c r="B4717" s="170"/>
    </row>
    <row r="4718" spans="1:2" x14ac:dyDescent="0.25">
      <c r="A4718" s="170"/>
      <c r="B4718" s="170"/>
    </row>
    <row r="4719" spans="1:2" x14ac:dyDescent="0.25">
      <c r="A4719" s="170"/>
      <c r="B4719" s="170"/>
    </row>
    <row r="4720" spans="1:2" x14ac:dyDescent="0.25">
      <c r="A4720" s="170"/>
      <c r="B4720" s="170"/>
    </row>
    <row r="4721" spans="1:2" x14ac:dyDescent="0.25">
      <c r="A4721" s="170"/>
      <c r="B4721" s="170"/>
    </row>
    <row r="4722" spans="1:2" x14ac:dyDescent="0.25">
      <c r="A4722" s="170"/>
      <c r="B4722" s="170"/>
    </row>
    <row r="4723" spans="1:2" x14ac:dyDescent="0.25">
      <c r="A4723" s="170"/>
      <c r="B4723" s="170"/>
    </row>
    <row r="4724" spans="1:2" x14ac:dyDescent="0.25">
      <c r="A4724" s="170"/>
      <c r="B4724" s="170"/>
    </row>
    <row r="4725" spans="1:2" x14ac:dyDescent="0.25">
      <c r="A4725" s="170"/>
      <c r="B4725" s="170"/>
    </row>
    <row r="4726" spans="1:2" x14ac:dyDescent="0.25">
      <c r="A4726" s="170"/>
      <c r="B4726" s="170"/>
    </row>
    <row r="4727" spans="1:2" x14ac:dyDescent="0.25">
      <c r="A4727" s="170"/>
      <c r="B4727" s="170"/>
    </row>
    <row r="4728" spans="1:2" x14ac:dyDescent="0.25">
      <c r="A4728" s="170"/>
      <c r="B4728" s="170"/>
    </row>
    <row r="4729" spans="1:2" x14ac:dyDescent="0.25">
      <c r="A4729" s="170"/>
      <c r="B4729" s="170"/>
    </row>
    <row r="4730" spans="1:2" x14ac:dyDescent="0.25">
      <c r="A4730" s="170"/>
      <c r="B4730" s="170"/>
    </row>
    <row r="4731" spans="1:2" x14ac:dyDescent="0.25">
      <c r="A4731" s="170"/>
      <c r="B4731" s="170"/>
    </row>
    <row r="4732" spans="1:2" x14ac:dyDescent="0.25">
      <c r="A4732" s="170"/>
      <c r="B4732" s="170"/>
    </row>
    <row r="4733" spans="1:2" x14ac:dyDescent="0.25">
      <c r="A4733" s="170"/>
      <c r="B4733" s="170"/>
    </row>
    <row r="4734" spans="1:2" x14ac:dyDescent="0.25">
      <c r="A4734" s="170"/>
      <c r="B4734" s="170"/>
    </row>
    <row r="4735" spans="1:2" x14ac:dyDescent="0.25">
      <c r="A4735" s="170"/>
      <c r="B4735" s="170"/>
    </row>
    <row r="4736" spans="1:2" x14ac:dyDescent="0.25">
      <c r="A4736" s="170"/>
      <c r="B4736" s="170"/>
    </row>
    <row r="4737" spans="1:2" x14ac:dyDescent="0.25">
      <c r="A4737" s="170"/>
      <c r="B4737" s="170"/>
    </row>
    <row r="4738" spans="1:2" x14ac:dyDescent="0.25">
      <c r="A4738" s="170"/>
      <c r="B4738" s="170"/>
    </row>
    <row r="4739" spans="1:2" x14ac:dyDescent="0.25">
      <c r="A4739" s="170"/>
      <c r="B4739" s="170"/>
    </row>
    <row r="4740" spans="1:2" x14ac:dyDescent="0.25">
      <c r="A4740" s="170"/>
      <c r="B4740" s="170"/>
    </row>
    <row r="4741" spans="1:2" x14ac:dyDescent="0.25">
      <c r="A4741" s="170"/>
      <c r="B4741" s="170"/>
    </row>
    <row r="4742" spans="1:2" x14ac:dyDescent="0.25">
      <c r="A4742" s="170"/>
      <c r="B4742" s="170"/>
    </row>
    <row r="4743" spans="1:2" x14ac:dyDescent="0.25">
      <c r="A4743" s="170"/>
      <c r="B4743" s="170"/>
    </row>
    <row r="4744" spans="1:2" x14ac:dyDescent="0.25">
      <c r="A4744" s="170"/>
      <c r="B4744" s="170"/>
    </row>
    <row r="4745" spans="1:2" x14ac:dyDescent="0.25">
      <c r="A4745" s="170"/>
      <c r="B4745" s="170"/>
    </row>
    <row r="4746" spans="1:2" x14ac:dyDescent="0.25">
      <c r="A4746" s="170"/>
      <c r="B4746" s="170"/>
    </row>
    <row r="4747" spans="1:2" x14ac:dyDescent="0.25">
      <c r="A4747" s="170"/>
      <c r="B4747" s="170"/>
    </row>
    <row r="4748" spans="1:2" x14ac:dyDescent="0.25">
      <c r="A4748" s="170"/>
      <c r="B4748" s="170"/>
    </row>
    <row r="4749" spans="1:2" x14ac:dyDescent="0.25">
      <c r="A4749" s="170"/>
      <c r="B4749" s="170"/>
    </row>
    <row r="4750" spans="1:2" x14ac:dyDescent="0.25">
      <c r="A4750" s="170"/>
      <c r="B4750" s="170"/>
    </row>
    <row r="4751" spans="1:2" x14ac:dyDescent="0.25">
      <c r="A4751" s="170"/>
      <c r="B4751" s="170"/>
    </row>
    <row r="4752" spans="1:2" x14ac:dyDescent="0.25">
      <c r="A4752" s="170"/>
      <c r="B4752" s="170"/>
    </row>
    <row r="4753" spans="1:2" x14ac:dyDescent="0.25">
      <c r="A4753" s="170"/>
      <c r="B4753" s="170"/>
    </row>
    <row r="4754" spans="1:2" x14ac:dyDescent="0.25">
      <c r="A4754" s="170"/>
      <c r="B4754" s="170"/>
    </row>
    <row r="4755" spans="1:2" x14ac:dyDescent="0.25">
      <c r="A4755" s="170"/>
      <c r="B4755" s="170"/>
    </row>
    <row r="4756" spans="1:2" x14ac:dyDescent="0.25">
      <c r="A4756" s="170"/>
      <c r="B4756" s="170"/>
    </row>
    <row r="4757" spans="1:2" x14ac:dyDescent="0.25">
      <c r="A4757" s="170"/>
      <c r="B4757" s="170"/>
    </row>
    <row r="4758" spans="1:2" x14ac:dyDescent="0.25">
      <c r="A4758" s="170"/>
      <c r="B4758" s="170"/>
    </row>
    <row r="4759" spans="1:2" x14ac:dyDescent="0.25">
      <c r="A4759" s="170"/>
      <c r="B4759" s="170"/>
    </row>
    <row r="4760" spans="1:2" x14ac:dyDescent="0.25">
      <c r="A4760" s="170"/>
      <c r="B4760" s="170"/>
    </row>
    <row r="4761" spans="1:2" x14ac:dyDescent="0.25">
      <c r="A4761" s="170"/>
      <c r="B4761" s="170"/>
    </row>
    <row r="4762" spans="1:2" x14ac:dyDescent="0.25">
      <c r="A4762" s="170"/>
      <c r="B4762" s="170"/>
    </row>
    <row r="4763" spans="1:2" x14ac:dyDescent="0.25">
      <c r="A4763" s="170"/>
      <c r="B4763" s="170"/>
    </row>
    <row r="4764" spans="1:2" x14ac:dyDescent="0.25">
      <c r="A4764" s="170"/>
      <c r="B4764" s="170"/>
    </row>
    <row r="4765" spans="1:2" x14ac:dyDescent="0.25">
      <c r="A4765" s="170"/>
      <c r="B4765" s="170"/>
    </row>
    <row r="4766" spans="1:2" x14ac:dyDescent="0.25">
      <c r="A4766" s="170"/>
      <c r="B4766" s="170"/>
    </row>
    <row r="4767" spans="1:2" x14ac:dyDescent="0.25">
      <c r="A4767" s="170"/>
      <c r="B4767" s="170"/>
    </row>
    <row r="4768" spans="1:2" x14ac:dyDescent="0.25">
      <c r="A4768" s="170"/>
      <c r="B4768" s="170"/>
    </row>
    <row r="4769" spans="1:2" x14ac:dyDescent="0.25">
      <c r="A4769" s="170"/>
      <c r="B4769" s="170"/>
    </row>
    <row r="4770" spans="1:2" x14ac:dyDescent="0.25">
      <c r="A4770" s="170"/>
      <c r="B4770" s="170"/>
    </row>
    <row r="4771" spans="1:2" x14ac:dyDescent="0.25">
      <c r="A4771" s="170"/>
      <c r="B4771" s="170"/>
    </row>
    <row r="4772" spans="1:2" x14ac:dyDescent="0.25">
      <c r="A4772" s="170"/>
      <c r="B4772" s="170"/>
    </row>
    <row r="4773" spans="1:2" x14ac:dyDescent="0.25">
      <c r="A4773" s="170"/>
      <c r="B4773" s="170"/>
    </row>
    <row r="4774" spans="1:2" x14ac:dyDescent="0.25">
      <c r="A4774" s="170"/>
      <c r="B4774" s="170"/>
    </row>
    <row r="4775" spans="1:2" x14ac:dyDescent="0.25">
      <c r="A4775" s="170"/>
      <c r="B4775" s="170"/>
    </row>
    <row r="4776" spans="1:2" x14ac:dyDescent="0.25">
      <c r="A4776" s="170"/>
      <c r="B4776" s="170"/>
    </row>
    <row r="4777" spans="1:2" x14ac:dyDescent="0.25">
      <c r="A4777" s="170"/>
      <c r="B4777" s="170"/>
    </row>
    <row r="4778" spans="1:2" x14ac:dyDescent="0.25">
      <c r="A4778" s="170"/>
      <c r="B4778" s="170"/>
    </row>
    <row r="4779" spans="1:2" x14ac:dyDescent="0.25">
      <c r="A4779" s="170"/>
      <c r="B4779" s="170"/>
    </row>
    <row r="4780" spans="1:2" x14ac:dyDescent="0.25">
      <c r="A4780" s="170"/>
      <c r="B4780" s="170"/>
    </row>
    <row r="4781" spans="1:2" x14ac:dyDescent="0.25">
      <c r="A4781" s="170"/>
      <c r="B4781" s="170"/>
    </row>
    <row r="4782" spans="1:2" x14ac:dyDescent="0.25">
      <c r="A4782" s="170"/>
      <c r="B4782" s="170"/>
    </row>
    <row r="4783" spans="1:2" x14ac:dyDescent="0.25">
      <c r="A4783" s="170"/>
      <c r="B4783" s="170"/>
    </row>
    <row r="4784" spans="1:2" x14ac:dyDescent="0.25">
      <c r="A4784" s="170"/>
      <c r="B4784" s="170"/>
    </row>
    <row r="4785" spans="1:2" x14ac:dyDescent="0.25">
      <c r="A4785" s="170"/>
      <c r="B4785" s="170"/>
    </row>
    <row r="4786" spans="1:2" x14ac:dyDescent="0.25">
      <c r="A4786" s="170"/>
      <c r="B4786" s="170"/>
    </row>
    <row r="4787" spans="1:2" x14ac:dyDescent="0.25">
      <c r="A4787" s="170"/>
      <c r="B4787" s="170"/>
    </row>
    <row r="4788" spans="1:2" x14ac:dyDescent="0.25">
      <c r="A4788" s="170"/>
      <c r="B4788" s="170"/>
    </row>
    <row r="4789" spans="1:2" x14ac:dyDescent="0.25">
      <c r="A4789" s="170"/>
      <c r="B4789" s="170"/>
    </row>
    <row r="4790" spans="1:2" x14ac:dyDescent="0.25">
      <c r="A4790" s="170"/>
      <c r="B4790" s="170"/>
    </row>
    <row r="4791" spans="1:2" x14ac:dyDescent="0.25">
      <c r="A4791" s="170"/>
      <c r="B4791" s="170"/>
    </row>
    <row r="4792" spans="1:2" x14ac:dyDescent="0.25">
      <c r="A4792" s="170"/>
      <c r="B4792" s="170"/>
    </row>
    <row r="4793" spans="1:2" x14ac:dyDescent="0.25">
      <c r="A4793" s="170"/>
      <c r="B4793" s="170"/>
    </row>
    <row r="4794" spans="1:2" x14ac:dyDescent="0.25">
      <c r="A4794" s="170"/>
      <c r="B4794" s="170"/>
    </row>
    <row r="4795" spans="1:2" x14ac:dyDescent="0.25">
      <c r="A4795" s="170"/>
      <c r="B4795" s="170"/>
    </row>
    <row r="4796" spans="1:2" x14ac:dyDescent="0.25">
      <c r="A4796" s="170"/>
      <c r="B4796" s="170"/>
    </row>
    <row r="4797" spans="1:2" x14ac:dyDescent="0.25">
      <c r="A4797" s="170"/>
      <c r="B4797" s="170"/>
    </row>
    <row r="4798" spans="1:2" x14ac:dyDescent="0.25">
      <c r="A4798" s="170"/>
      <c r="B4798" s="170"/>
    </row>
    <row r="4799" spans="1:2" x14ac:dyDescent="0.25">
      <c r="A4799" s="170"/>
      <c r="B4799" s="170"/>
    </row>
    <row r="4800" spans="1:2" x14ac:dyDescent="0.25">
      <c r="A4800" s="170"/>
      <c r="B4800" s="170"/>
    </row>
    <row r="4801" spans="1:2" x14ac:dyDescent="0.25">
      <c r="A4801" s="170"/>
      <c r="B4801" s="170"/>
    </row>
    <row r="4802" spans="1:2" x14ac:dyDescent="0.25">
      <c r="A4802" s="170"/>
      <c r="B4802" s="170"/>
    </row>
    <row r="4803" spans="1:2" x14ac:dyDescent="0.25">
      <c r="A4803" s="170"/>
      <c r="B4803" s="170"/>
    </row>
    <row r="4804" spans="1:2" x14ac:dyDescent="0.25">
      <c r="A4804" s="170"/>
      <c r="B4804" s="170"/>
    </row>
    <row r="4805" spans="1:2" x14ac:dyDescent="0.25">
      <c r="A4805" s="170"/>
      <c r="B4805" s="170"/>
    </row>
    <row r="4806" spans="1:2" x14ac:dyDescent="0.25">
      <c r="A4806" s="170"/>
      <c r="B4806" s="170"/>
    </row>
    <row r="4807" spans="1:2" x14ac:dyDescent="0.25">
      <c r="A4807" s="170"/>
      <c r="B4807" s="170"/>
    </row>
    <row r="4808" spans="1:2" x14ac:dyDescent="0.25">
      <c r="A4808" s="170"/>
      <c r="B4808" s="170"/>
    </row>
    <row r="4809" spans="1:2" x14ac:dyDescent="0.25">
      <c r="A4809" s="170"/>
      <c r="B4809" s="170"/>
    </row>
    <row r="4810" spans="1:2" x14ac:dyDescent="0.25">
      <c r="A4810" s="170"/>
      <c r="B4810" s="170"/>
    </row>
    <row r="4811" spans="1:2" x14ac:dyDescent="0.25">
      <c r="A4811" s="170"/>
      <c r="B4811" s="170"/>
    </row>
    <row r="4812" spans="1:2" x14ac:dyDescent="0.25">
      <c r="A4812" s="170"/>
      <c r="B4812" s="170"/>
    </row>
    <row r="4813" spans="1:2" x14ac:dyDescent="0.25">
      <c r="A4813" s="170"/>
      <c r="B4813" s="170"/>
    </row>
    <row r="4814" spans="1:2" x14ac:dyDescent="0.25">
      <c r="A4814" s="170"/>
      <c r="B4814" s="170"/>
    </row>
    <row r="4815" spans="1:2" x14ac:dyDescent="0.25">
      <c r="A4815" s="170"/>
      <c r="B4815" s="170"/>
    </row>
    <row r="4816" spans="1:2" x14ac:dyDescent="0.25">
      <c r="A4816" s="170"/>
      <c r="B4816" s="170"/>
    </row>
    <row r="4817" spans="1:2" x14ac:dyDescent="0.25">
      <c r="A4817" s="170"/>
      <c r="B4817" s="170"/>
    </row>
    <row r="4818" spans="1:2" x14ac:dyDescent="0.25">
      <c r="A4818" s="170"/>
      <c r="B4818" s="170"/>
    </row>
    <row r="4819" spans="1:2" x14ac:dyDescent="0.25">
      <c r="A4819" s="170"/>
      <c r="B4819" s="170"/>
    </row>
    <row r="4820" spans="1:2" x14ac:dyDescent="0.25">
      <c r="A4820" s="170"/>
      <c r="B4820" s="170"/>
    </row>
    <row r="4821" spans="1:2" x14ac:dyDescent="0.25">
      <c r="A4821" s="170"/>
      <c r="B4821" s="170"/>
    </row>
    <row r="4822" spans="1:2" x14ac:dyDescent="0.25">
      <c r="A4822" s="170"/>
      <c r="B4822" s="170"/>
    </row>
    <row r="4823" spans="1:2" x14ac:dyDescent="0.25">
      <c r="A4823" s="170"/>
      <c r="B4823" s="170"/>
    </row>
    <row r="4824" spans="1:2" x14ac:dyDescent="0.25">
      <c r="A4824" s="170"/>
      <c r="B4824" s="170"/>
    </row>
    <row r="4825" spans="1:2" x14ac:dyDescent="0.25">
      <c r="A4825" s="170"/>
      <c r="B4825" s="170"/>
    </row>
    <row r="4826" spans="1:2" x14ac:dyDescent="0.25">
      <c r="A4826" s="170"/>
      <c r="B4826" s="170"/>
    </row>
    <row r="4827" spans="1:2" x14ac:dyDescent="0.25">
      <c r="A4827" s="170"/>
      <c r="B4827" s="170"/>
    </row>
    <row r="4828" spans="1:2" x14ac:dyDescent="0.25">
      <c r="A4828" s="170"/>
      <c r="B4828" s="170"/>
    </row>
    <row r="4829" spans="1:2" x14ac:dyDescent="0.25">
      <c r="A4829" s="170"/>
      <c r="B4829" s="170"/>
    </row>
    <row r="4830" spans="1:2" x14ac:dyDescent="0.25">
      <c r="A4830" s="170"/>
      <c r="B4830" s="170"/>
    </row>
    <row r="4831" spans="1:2" x14ac:dyDescent="0.25">
      <c r="A4831" s="170"/>
      <c r="B4831" s="170"/>
    </row>
    <row r="4832" spans="1:2" x14ac:dyDescent="0.25">
      <c r="A4832" s="170"/>
      <c r="B4832" s="170"/>
    </row>
    <row r="4833" spans="1:2" x14ac:dyDescent="0.25">
      <c r="A4833" s="170"/>
      <c r="B4833" s="170"/>
    </row>
    <row r="4834" spans="1:2" x14ac:dyDescent="0.25">
      <c r="A4834" s="170"/>
      <c r="B4834" s="170"/>
    </row>
    <row r="4835" spans="1:2" x14ac:dyDescent="0.25">
      <c r="A4835" s="170"/>
      <c r="B4835" s="170"/>
    </row>
    <row r="4836" spans="1:2" x14ac:dyDescent="0.25">
      <c r="A4836" s="170"/>
      <c r="B4836" s="170"/>
    </row>
    <row r="4837" spans="1:2" x14ac:dyDescent="0.25">
      <c r="A4837" s="170"/>
      <c r="B4837" s="170"/>
    </row>
    <row r="4838" spans="1:2" x14ac:dyDescent="0.25">
      <c r="A4838" s="170"/>
      <c r="B4838" s="170"/>
    </row>
    <row r="4839" spans="1:2" x14ac:dyDescent="0.25">
      <c r="A4839" s="170"/>
      <c r="B4839" s="170"/>
    </row>
    <row r="4840" spans="1:2" x14ac:dyDescent="0.25">
      <c r="A4840" s="170"/>
      <c r="B4840" s="170"/>
    </row>
    <row r="4841" spans="1:2" x14ac:dyDescent="0.25">
      <c r="A4841" s="170"/>
      <c r="B4841" s="170"/>
    </row>
    <row r="4842" spans="1:2" x14ac:dyDescent="0.25">
      <c r="A4842" s="170"/>
      <c r="B4842" s="170"/>
    </row>
    <row r="4843" spans="1:2" x14ac:dyDescent="0.25">
      <c r="A4843" s="170"/>
      <c r="B4843" s="170"/>
    </row>
    <row r="4844" spans="1:2" x14ac:dyDescent="0.25">
      <c r="A4844" s="170"/>
      <c r="B4844" s="170"/>
    </row>
    <row r="4845" spans="1:2" x14ac:dyDescent="0.25">
      <c r="A4845" s="170"/>
      <c r="B4845" s="170"/>
    </row>
    <row r="4846" spans="1:2" x14ac:dyDescent="0.25">
      <c r="A4846" s="170"/>
      <c r="B4846" s="170"/>
    </row>
    <row r="4847" spans="1:2" x14ac:dyDescent="0.25">
      <c r="A4847" s="170"/>
      <c r="B4847" s="170"/>
    </row>
    <row r="4848" spans="1:2" x14ac:dyDescent="0.25">
      <c r="A4848" s="170"/>
      <c r="B4848" s="170"/>
    </row>
    <row r="4849" spans="1:2" x14ac:dyDescent="0.25">
      <c r="A4849" s="170"/>
      <c r="B4849" s="170"/>
    </row>
    <row r="4850" spans="1:2" x14ac:dyDescent="0.25">
      <c r="A4850" s="170"/>
      <c r="B4850" s="170"/>
    </row>
    <row r="4851" spans="1:2" x14ac:dyDescent="0.25">
      <c r="A4851" s="170"/>
      <c r="B4851" s="170"/>
    </row>
    <row r="4852" spans="1:2" x14ac:dyDescent="0.25">
      <c r="A4852" s="170"/>
      <c r="B4852" s="170"/>
    </row>
    <row r="4853" spans="1:2" x14ac:dyDescent="0.25">
      <c r="A4853" s="170"/>
      <c r="B4853" s="170"/>
    </row>
    <row r="4854" spans="1:2" x14ac:dyDescent="0.25">
      <c r="A4854" s="170"/>
      <c r="B4854" s="170"/>
    </row>
    <row r="4855" spans="1:2" x14ac:dyDescent="0.25">
      <c r="A4855" s="170"/>
      <c r="B4855" s="170"/>
    </row>
    <row r="4856" spans="1:2" x14ac:dyDescent="0.25">
      <c r="A4856" s="170"/>
      <c r="B4856" s="170"/>
    </row>
    <row r="4857" spans="1:2" x14ac:dyDescent="0.25">
      <c r="A4857" s="170"/>
      <c r="B4857" s="170"/>
    </row>
    <row r="4858" spans="1:2" x14ac:dyDescent="0.25">
      <c r="A4858" s="170"/>
      <c r="B4858" s="170"/>
    </row>
    <row r="4859" spans="1:2" x14ac:dyDescent="0.25">
      <c r="A4859" s="170"/>
      <c r="B4859" s="170"/>
    </row>
    <row r="4860" spans="1:2" x14ac:dyDescent="0.25">
      <c r="A4860" s="170"/>
      <c r="B4860" s="170"/>
    </row>
    <row r="4861" spans="1:2" x14ac:dyDescent="0.25">
      <c r="A4861" s="170"/>
      <c r="B4861" s="170"/>
    </row>
    <row r="4862" spans="1:2" x14ac:dyDescent="0.25">
      <c r="A4862" s="170"/>
      <c r="B4862" s="170"/>
    </row>
    <row r="4863" spans="1:2" x14ac:dyDescent="0.25">
      <c r="A4863" s="170"/>
      <c r="B4863" s="170"/>
    </row>
    <row r="4864" spans="1:2" x14ac:dyDescent="0.25">
      <c r="A4864" s="170"/>
      <c r="B4864" s="170"/>
    </row>
    <row r="4865" spans="1:2" x14ac:dyDescent="0.25">
      <c r="A4865" s="170"/>
      <c r="B4865" s="170"/>
    </row>
    <row r="4866" spans="1:2" x14ac:dyDescent="0.25">
      <c r="A4866" s="170"/>
      <c r="B4866" s="170"/>
    </row>
    <row r="4867" spans="1:2" x14ac:dyDescent="0.25">
      <c r="A4867" s="170"/>
      <c r="B4867" s="170"/>
    </row>
    <row r="4868" spans="1:2" x14ac:dyDescent="0.25">
      <c r="A4868" s="170"/>
      <c r="B4868" s="170"/>
    </row>
    <row r="4869" spans="1:2" x14ac:dyDescent="0.25">
      <c r="A4869" s="170"/>
      <c r="B4869" s="170"/>
    </row>
    <row r="4870" spans="1:2" x14ac:dyDescent="0.25">
      <c r="A4870" s="170"/>
      <c r="B4870" s="170"/>
    </row>
    <row r="4871" spans="1:2" x14ac:dyDescent="0.25">
      <c r="A4871" s="170"/>
      <c r="B4871" s="170"/>
    </row>
    <row r="4872" spans="1:2" x14ac:dyDescent="0.25">
      <c r="A4872" s="170"/>
      <c r="B4872" s="170"/>
    </row>
    <row r="4873" spans="1:2" x14ac:dyDescent="0.25">
      <c r="A4873" s="170"/>
      <c r="B4873" s="170"/>
    </row>
    <row r="4874" spans="1:2" x14ac:dyDescent="0.25">
      <c r="A4874" s="170"/>
      <c r="B4874" s="170"/>
    </row>
    <row r="4875" spans="1:2" x14ac:dyDescent="0.25">
      <c r="A4875" s="170"/>
      <c r="B4875" s="170"/>
    </row>
    <row r="4876" spans="1:2" x14ac:dyDescent="0.25">
      <c r="A4876" s="170"/>
      <c r="B4876" s="170"/>
    </row>
    <row r="4877" spans="1:2" x14ac:dyDescent="0.25">
      <c r="A4877" s="170"/>
      <c r="B4877" s="170"/>
    </row>
    <row r="4878" spans="1:2" x14ac:dyDescent="0.25">
      <c r="A4878" s="170"/>
      <c r="B4878" s="170"/>
    </row>
    <row r="4879" spans="1:2" x14ac:dyDescent="0.25">
      <c r="A4879" s="170"/>
      <c r="B4879" s="170"/>
    </row>
    <row r="4880" spans="1:2" x14ac:dyDescent="0.25">
      <c r="A4880" s="170"/>
      <c r="B4880" s="170"/>
    </row>
    <row r="4881" spans="1:2" x14ac:dyDescent="0.25">
      <c r="A4881" s="170"/>
      <c r="B4881" s="170"/>
    </row>
    <row r="4882" spans="1:2" x14ac:dyDescent="0.25">
      <c r="A4882" s="170"/>
      <c r="B4882" s="170"/>
    </row>
    <row r="4883" spans="1:2" x14ac:dyDescent="0.25">
      <c r="A4883" s="170"/>
      <c r="B4883" s="170"/>
    </row>
    <row r="4884" spans="1:2" x14ac:dyDescent="0.25">
      <c r="A4884" s="170"/>
      <c r="B4884" s="170"/>
    </row>
    <row r="4885" spans="1:2" x14ac:dyDescent="0.25">
      <c r="A4885" s="170"/>
      <c r="B4885" s="170"/>
    </row>
    <row r="4886" spans="1:2" x14ac:dyDescent="0.25">
      <c r="A4886" s="170"/>
      <c r="B4886" s="170"/>
    </row>
    <row r="4887" spans="1:2" x14ac:dyDescent="0.25">
      <c r="A4887" s="170"/>
      <c r="B4887" s="170"/>
    </row>
    <row r="4888" spans="1:2" x14ac:dyDescent="0.25">
      <c r="A4888" s="170"/>
      <c r="B4888" s="170"/>
    </row>
    <row r="4889" spans="1:2" x14ac:dyDescent="0.25">
      <c r="A4889" s="170"/>
      <c r="B4889" s="170"/>
    </row>
    <row r="4890" spans="1:2" x14ac:dyDescent="0.25">
      <c r="A4890" s="170"/>
      <c r="B4890" s="170"/>
    </row>
    <row r="4891" spans="1:2" x14ac:dyDescent="0.25">
      <c r="A4891" s="170"/>
      <c r="B4891" s="170"/>
    </row>
    <row r="4892" spans="1:2" x14ac:dyDescent="0.25">
      <c r="A4892" s="170"/>
      <c r="B4892" s="170"/>
    </row>
    <row r="4893" spans="1:2" x14ac:dyDescent="0.25">
      <c r="A4893" s="170"/>
      <c r="B4893" s="170"/>
    </row>
    <row r="4894" spans="1:2" x14ac:dyDescent="0.25">
      <c r="A4894" s="170"/>
      <c r="B4894" s="170"/>
    </row>
    <row r="4895" spans="1:2" x14ac:dyDescent="0.25">
      <c r="A4895" s="170"/>
      <c r="B4895" s="170"/>
    </row>
    <row r="4896" spans="1:2" x14ac:dyDescent="0.25">
      <c r="A4896" s="170"/>
      <c r="B4896" s="170"/>
    </row>
    <row r="4897" spans="1:2" x14ac:dyDescent="0.25">
      <c r="A4897" s="170"/>
      <c r="B4897" s="170"/>
    </row>
    <row r="4898" spans="1:2" x14ac:dyDescent="0.25">
      <c r="A4898" s="170"/>
      <c r="B4898" s="170"/>
    </row>
    <row r="4899" spans="1:2" x14ac:dyDescent="0.25">
      <c r="A4899" s="170"/>
      <c r="B4899" s="170"/>
    </row>
    <row r="4900" spans="1:2" x14ac:dyDescent="0.25">
      <c r="A4900" s="170"/>
      <c r="B4900" s="170"/>
    </row>
    <row r="4901" spans="1:2" x14ac:dyDescent="0.25">
      <c r="A4901" s="170"/>
      <c r="B4901" s="170"/>
    </row>
    <row r="4902" spans="1:2" x14ac:dyDescent="0.25">
      <c r="A4902" s="170"/>
      <c r="B4902" s="170"/>
    </row>
    <row r="4903" spans="1:2" x14ac:dyDescent="0.25">
      <c r="A4903" s="170"/>
      <c r="B4903" s="170"/>
    </row>
    <row r="4904" spans="1:2" x14ac:dyDescent="0.25">
      <c r="A4904" s="170"/>
      <c r="B4904" s="170"/>
    </row>
    <row r="4905" spans="1:2" x14ac:dyDescent="0.25">
      <c r="A4905" s="170"/>
      <c r="B4905" s="170"/>
    </row>
    <row r="4906" spans="1:2" x14ac:dyDescent="0.25">
      <c r="A4906" s="170"/>
      <c r="B4906" s="170"/>
    </row>
    <row r="4907" spans="1:2" x14ac:dyDescent="0.25">
      <c r="A4907" s="170"/>
      <c r="B4907" s="170"/>
    </row>
    <row r="4908" spans="1:2" x14ac:dyDescent="0.25">
      <c r="A4908" s="170"/>
      <c r="B4908" s="170"/>
    </row>
    <row r="4909" spans="1:2" x14ac:dyDescent="0.25">
      <c r="A4909" s="170"/>
      <c r="B4909" s="170"/>
    </row>
    <row r="4910" spans="1:2" x14ac:dyDescent="0.25">
      <c r="A4910" s="170"/>
      <c r="B4910" s="170"/>
    </row>
    <row r="4911" spans="1:2" x14ac:dyDescent="0.25">
      <c r="A4911" s="170"/>
      <c r="B4911" s="170"/>
    </row>
    <row r="4912" spans="1:2" x14ac:dyDescent="0.25">
      <c r="A4912" s="170"/>
      <c r="B4912" s="170"/>
    </row>
    <row r="4913" spans="1:2" x14ac:dyDescent="0.25">
      <c r="A4913" s="170"/>
      <c r="B4913" s="170"/>
    </row>
    <row r="4914" spans="1:2" x14ac:dyDescent="0.25">
      <c r="A4914" s="170"/>
      <c r="B4914" s="170"/>
    </row>
    <row r="4915" spans="1:2" x14ac:dyDescent="0.25">
      <c r="A4915" s="170"/>
      <c r="B4915" s="170"/>
    </row>
    <row r="4916" spans="1:2" x14ac:dyDescent="0.25">
      <c r="A4916" s="170"/>
      <c r="B4916" s="170"/>
    </row>
    <row r="4917" spans="1:2" x14ac:dyDescent="0.25">
      <c r="A4917" s="170"/>
      <c r="B4917" s="170"/>
    </row>
    <row r="4918" spans="1:2" x14ac:dyDescent="0.25">
      <c r="A4918" s="170"/>
      <c r="B4918" s="170"/>
    </row>
    <row r="4919" spans="1:2" x14ac:dyDescent="0.25">
      <c r="A4919" s="170"/>
      <c r="B4919" s="170"/>
    </row>
    <row r="4920" spans="1:2" x14ac:dyDescent="0.25">
      <c r="A4920" s="170"/>
      <c r="B4920" s="170"/>
    </row>
    <row r="4921" spans="1:2" x14ac:dyDescent="0.25">
      <c r="A4921" s="170"/>
      <c r="B4921" s="170"/>
    </row>
    <row r="4922" spans="1:2" x14ac:dyDescent="0.25">
      <c r="A4922" s="170"/>
      <c r="B4922" s="170"/>
    </row>
    <row r="4923" spans="1:2" x14ac:dyDescent="0.25">
      <c r="A4923" s="170"/>
      <c r="B4923" s="170"/>
    </row>
    <row r="4924" spans="1:2" x14ac:dyDescent="0.25">
      <c r="A4924" s="170"/>
      <c r="B4924" s="170"/>
    </row>
    <row r="4925" spans="1:2" x14ac:dyDescent="0.25">
      <c r="A4925" s="170"/>
      <c r="B4925" s="170"/>
    </row>
    <row r="4926" spans="1:2" x14ac:dyDescent="0.25">
      <c r="A4926" s="170"/>
      <c r="B4926" s="170"/>
    </row>
    <row r="4927" spans="1:2" x14ac:dyDescent="0.25">
      <c r="A4927" s="170"/>
      <c r="B4927" s="170"/>
    </row>
    <row r="4928" spans="1:2" x14ac:dyDescent="0.25">
      <c r="A4928" s="170"/>
      <c r="B4928" s="170"/>
    </row>
    <row r="4929" spans="1:2" x14ac:dyDescent="0.25">
      <c r="A4929" s="170"/>
      <c r="B4929" s="170"/>
    </row>
    <row r="4930" spans="1:2" x14ac:dyDescent="0.25">
      <c r="A4930" s="170"/>
      <c r="B4930" s="170"/>
    </row>
    <row r="4931" spans="1:2" x14ac:dyDescent="0.25">
      <c r="A4931" s="170"/>
      <c r="B4931" s="170"/>
    </row>
    <row r="4932" spans="1:2" x14ac:dyDescent="0.25">
      <c r="A4932" s="170"/>
      <c r="B4932" s="170"/>
    </row>
    <row r="4933" spans="1:2" x14ac:dyDescent="0.25">
      <c r="A4933" s="170"/>
      <c r="B4933" s="170"/>
    </row>
    <row r="4934" spans="1:2" x14ac:dyDescent="0.25">
      <c r="A4934" s="170"/>
      <c r="B4934" s="170"/>
    </row>
    <row r="4935" spans="1:2" x14ac:dyDescent="0.25">
      <c r="A4935" s="170"/>
      <c r="B4935" s="170"/>
    </row>
    <row r="4936" spans="1:2" x14ac:dyDescent="0.25">
      <c r="A4936" s="170"/>
      <c r="B4936" s="170"/>
    </row>
    <row r="4937" spans="1:2" x14ac:dyDescent="0.25">
      <c r="A4937" s="170"/>
      <c r="B4937" s="170"/>
    </row>
    <row r="4938" spans="1:2" x14ac:dyDescent="0.25">
      <c r="A4938" s="170"/>
      <c r="B4938" s="170"/>
    </row>
    <row r="4939" spans="1:2" x14ac:dyDescent="0.25">
      <c r="A4939" s="170"/>
      <c r="B4939" s="170"/>
    </row>
    <row r="4940" spans="1:2" x14ac:dyDescent="0.25">
      <c r="A4940" s="170"/>
      <c r="B4940" s="170"/>
    </row>
    <row r="4941" spans="1:2" x14ac:dyDescent="0.25">
      <c r="A4941" s="170"/>
      <c r="B4941" s="170"/>
    </row>
    <row r="4942" spans="1:2" x14ac:dyDescent="0.25">
      <c r="A4942" s="170"/>
      <c r="B4942" s="170"/>
    </row>
    <row r="4943" spans="1:2" x14ac:dyDescent="0.25">
      <c r="A4943" s="170"/>
      <c r="B4943" s="170"/>
    </row>
    <row r="4944" spans="1:2" x14ac:dyDescent="0.25">
      <c r="A4944" s="170"/>
      <c r="B4944" s="170"/>
    </row>
    <row r="4945" spans="1:2" x14ac:dyDescent="0.25">
      <c r="A4945" s="170"/>
      <c r="B4945" s="170"/>
    </row>
    <row r="4946" spans="1:2" x14ac:dyDescent="0.25">
      <c r="A4946" s="170"/>
      <c r="B4946" s="170"/>
    </row>
    <row r="4947" spans="1:2" x14ac:dyDescent="0.25">
      <c r="A4947" s="170"/>
      <c r="B4947" s="170"/>
    </row>
    <row r="4948" spans="1:2" x14ac:dyDescent="0.25">
      <c r="A4948" s="170"/>
      <c r="B4948" s="170"/>
    </row>
    <row r="4949" spans="1:2" x14ac:dyDescent="0.25">
      <c r="A4949" s="170"/>
      <c r="B4949" s="170"/>
    </row>
    <row r="4950" spans="1:2" x14ac:dyDescent="0.25">
      <c r="A4950" s="170"/>
      <c r="B4950" s="170"/>
    </row>
    <row r="4951" spans="1:2" x14ac:dyDescent="0.25">
      <c r="A4951" s="170"/>
      <c r="B4951" s="170"/>
    </row>
  </sheetData>
  <mergeCells count="30">
    <mergeCell ref="AA5:AL5"/>
    <mergeCell ref="C8:F8"/>
    <mergeCell ref="O8:R8"/>
    <mergeCell ref="AA8:AD8"/>
    <mergeCell ref="C6:F6"/>
    <mergeCell ref="O6:R6"/>
    <mergeCell ref="AA6:AD6"/>
    <mergeCell ref="C5:N5"/>
    <mergeCell ref="G6:J6"/>
    <mergeCell ref="K6:N6"/>
    <mergeCell ref="G8:J8"/>
    <mergeCell ref="K8:N8"/>
    <mergeCell ref="S6:V6"/>
    <mergeCell ref="W6:Z6"/>
    <mergeCell ref="O5:Z5"/>
    <mergeCell ref="S8:V8"/>
    <mergeCell ref="W8:Z8"/>
    <mergeCell ref="AE6:AH6"/>
    <mergeCell ref="AI6:AL6"/>
    <mergeCell ref="AE8:AH8"/>
    <mergeCell ref="AI8:AL8"/>
    <mergeCell ref="AA1:AL1"/>
    <mergeCell ref="AA2:AL2"/>
    <mergeCell ref="AA3:AL3"/>
    <mergeCell ref="C1:N1"/>
    <mergeCell ref="C2:N2"/>
    <mergeCell ref="C3:N3"/>
    <mergeCell ref="O1:Z1"/>
    <mergeCell ref="O2:Z2"/>
    <mergeCell ref="O3:Z3"/>
  </mergeCells>
  <phoneticPr fontId="45" type="noConversion"/>
  <pageMargins left="0.39370078740157483" right="0.39370078740157483" top="0.78740157480314965" bottom="0.6692913385826772" header="0.62992125984251968" footer="0.39370078740157483"/>
  <pageSetup paperSize="9" scale="60" fitToWidth="0" fitToHeight="0" orientation="landscape" r:id="rId1"/>
  <headerFooter alignWithMargins="0">
    <oddHeader>&amp;C&amp;"Times New Roman CE,Félkövér"
&amp;R&amp;"Times New Roman CE,Félkövér"&amp;11 1. melléklet a 12/2021.(II.25.) önkormányzati rendelethez&amp;"Times New Roman CE,Dőlt"&amp;10
 1. melléklet
az 5/2020.(II.17.) önkormányzati rendelethez</oddHeader>
  </headerFooter>
  <rowBreaks count="1" manualBreakCount="1">
    <brk id="53" max="37" man="1"/>
  </rowBreaks>
  <colBreaks count="2" manualBreakCount="2">
    <brk id="14" max="65" man="1"/>
    <brk id="26" max="6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262"/>
  <sheetViews>
    <sheetView view="pageBreakPreview" zoomScale="70" zoomScaleNormal="120" zoomScaleSheetLayoutView="70" workbookViewId="0">
      <pane ySplit="3" topLeftCell="A218" activePane="bottomLeft" state="frozen"/>
      <selection activeCell="F12" sqref="F12"/>
      <selection pane="bottomLeft" activeCell="E233" sqref="E233"/>
    </sheetView>
  </sheetViews>
  <sheetFormatPr defaultRowHeight="15.75" x14ac:dyDescent="0.25"/>
  <cols>
    <col min="1" max="1" width="4.875" style="424" bestFit="1" customWidth="1"/>
    <col min="2" max="2" width="65.75" style="424" customWidth="1"/>
    <col min="3" max="3" width="15.25" style="425" customWidth="1"/>
    <col min="4" max="5" width="13.25" style="425" customWidth="1"/>
    <col min="6" max="6" width="15.25" style="425" customWidth="1"/>
    <col min="7" max="8" width="13.25" style="425" customWidth="1"/>
    <col min="9" max="10" width="9.625" style="380" customWidth="1"/>
    <col min="11" max="11" width="7.25" style="380" customWidth="1"/>
    <col min="12" max="218" width="8.75" style="424"/>
    <col min="219" max="219" width="4.875" style="424" bestFit="1" customWidth="1"/>
    <col min="220" max="220" width="65.75" style="424" customWidth="1"/>
    <col min="221" max="222" width="13.25" style="424" customWidth="1"/>
    <col min="223" max="223" width="17.125" style="424" customWidth="1"/>
    <col min="224" max="226" width="0" style="424" hidden="1" customWidth="1"/>
    <col min="227" max="474" width="8.75" style="424"/>
    <col min="475" max="475" width="4.875" style="424" bestFit="1" customWidth="1"/>
    <col min="476" max="476" width="65.75" style="424" customWidth="1"/>
    <col min="477" max="478" width="13.25" style="424" customWidth="1"/>
    <col min="479" max="479" width="17.125" style="424" customWidth="1"/>
    <col min="480" max="482" width="0" style="424" hidden="1" customWidth="1"/>
    <col min="483" max="730" width="8.75" style="424"/>
    <col min="731" max="731" width="4.875" style="424" bestFit="1" customWidth="1"/>
    <col min="732" max="732" width="65.75" style="424" customWidth="1"/>
    <col min="733" max="734" width="13.25" style="424" customWidth="1"/>
    <col min="735" max="735" width="17.125" style="424" customWidth="1"/>
    <col min="736" max="738" width="0" style="424" hidden="1" customWidth="1"/>
    <col min="739" max="986" width="8.75" style="424"/>
    <col min="987" max="987" width="4.875" style="424" bestFit="1" customWidth="1"/>
    <col min="988" max="988" width="65.75" style="424" customWidth="1"/>
    <col min="989" max="990" width="13.25" style="424" customWidth="1"/>
    <col min="991" max="991" width="17.125" style="424" customWidth="1"/>
    <col min="992" max="994" width="0" style="424" hidden="1" customWidth="1"/>
    <col min="995" max="1242" width="8.75" style="424"/>
    <col min="1243" max="1243" width="4.875" style="424" bestFit="1" customWidth="1"/>
    <col min="1244" max="1244" width="65.75" style="424" customWidth="1"/>
    <col min="1245" max="1246" width="13.25" style="424" customWidth="1"/>
    <col min="1247" max="1247" width="17.125" style="424" customWidth="1"/>
    <col min="1248" max="1250" width="0" style="424" hidden="1" customWidth="1"/>
    <col min="1251" max="1498" width="8.75" style="424"/>
    <col min="1499" max="1499" width="4.875" style="424" bestFit="1" customWidth="1"/>
    <col min="1500" max="1500" width="65.75" style="424" customWidth="1"/>
    <col min="1501" max="1502" width="13.25" style="424" customWidth="1"/>
    <col min="1503" max="1503" width="17.125" style="424" customWidth="1"/>
    <col min="1504" max="1506" width="0" style="424" hidden="1" customWidth="1"/>
    <col min="1507" max="1754" width="8.75" style="424"/>
    <col min="1755" max="1755" width="4.875" style="424" bestFit="1" customWidth="1"/>
    <col min="1756" max="1756" width="65.75" style="424" customWidth="1"/>
    <col min="1757" max="1758" width="13.25" style="424" customWidth="1"/>
    <col min="1759" max="1759" width="17.125" style="424" customWidth="1"/>
    <col min="1760" max="1762" width="0" style="424" hidden="1" customWidth="1"/>
    <col min="1763" max="2010" width="8.75" style="424"/>
    <col min="2011" max="2011" width="4.875" style="424" bestFit="1" customWidth="1"/>
    <col min="2012" max="2012" width="65.75" style="424" customWidth="1"/>
    <col min="2013" max="2014" width="13.25" style="424" customWidth="1"/>
    <col min="2015" max="2015" width="17.125" style="424" customWidth="1"/>
    <col min="2016" max="2018" width="0" style="424" hidden="1" customWidth="1"/>
    <col min="2019" max="2266" width="8.75" style="424"/>
    <col min="2267" max="2267" width="4.875" style="424" bestFit="1" customWidth="1"/>
    <col min="2268" max="2268" width="65.75" style="424" customWidth="1"/>
    <col min="2269" max="2270" width="13.25" style="424" customWidth="1"/>
    <col min="2271" max="2271" width="17.125" style="424" customWidth="1"/>
    <col min="2272" max="2274" width="0" style="424" hidden="1" customWidth="1"/>
    <col min="2275" max="2522" width="8.75" style="424"/>
    <col min="2523" max="2523" width="4.875" style="424" bestFit="1" customWidth="1"/>
    <col min="2524" max="2524" width="65.75" style="424" customWidth="1"/>
    <col min="2525" max="2526" width="13.25" style="424" customWidth="1"/>
    <col min="2527" max="2527" width="17.125" style="424" customWidth="1"/>
    <col min="2528" max="2530" width="0" style="424" hidden="1" customWidth="1"/>
    <col min="2531" max="2778" width="8.75" style="424"/>
    <col min="2779" max="2779" width="4.875" style="424" bestFit="1" customWidth="1"/>
    <col min="2780" max="2780" width="65.75" style="424" customWidth="1"/>
    <col min="2781" max="2782" width="13.25" style="424" customWidth="1"/>
    <col min="2783" max="2783" width="17.125" style="424" customWidth="1"/>
    <col min="2784" max="2786" width="0" style="424" hidden="1" customWidth="1"/>
    <col min="2787" max="3034" width="8.75" style="424"/>
    <col min="3035" max="3035" width="4.875" style="424" bestFit="1" customWidth="1"/>
    <col min="3036" max="3036" width="65.75" style="424" customWidth="1"/>
    <col min="3037" max="3038" width="13.25" style="424" customWidth="1"/>
    <col min="3039" max="3039" width="17.125" style="424" customWidth="1"/>
    <col min="3040" max="3042" width="0" style="424" hidden="1" customWidth="1"/>
    <col min="3043" max="3290" width="8.75" style="424"/>
    <col min="3291" max="3291" width="4.875" style="424" bestFit="1" customWidth="1"/>
    <col min="3292" max="3292" width="65.75" style="424" customWidth="1"/>
    <col min="3293" max="3294" width="13.25" style="424" customWidth="1"/>
    <col min="3295" max="3295" width="17.125" style="424" customWidth="1"/>
    <col min="3296" max="3298" width="0" style="424" hidden="1" customWidth="1"/>
    <col min="3299" max="3546" width="8.75" style="424"/>
    <col min="3547" max="3547" width="4.875" style="424" bestFit="1" customWidth="1"/>
    <col min="3548" max="3548" width="65.75" style="424" customWidth="1"/>
    <col min="3549" max="3550" width="13.25" style="424" customWidth="1"/>
    <col min="3551" max="3551" width="17.125" style="424" customWidth="1"/>
    <col min="3552" max="3554" width="0" style="424" hidden="1" customWidth="1"/>
    <col min="3555" max="3802" width="8.75" style="424"/>
    <col min="3803" max="3803" width="4.875" style="424" bestFit="1" customWidth="1"/>
    <col min="3804" max="3804" width="65.75" style="424" customWidth="1"/>
    <col min="3805" max="3806" width="13.25" style="424" customWidth="1"/>
    <col min="3807" max="3807" width="17.125" style="424" customWidth="1"/>
    <col min="3808" max="3810" width="0" style="424" hidden="1" customWidth="1"/>
    <col min="3811" max="4058" width="8.75" style="424"/>
    <col min="4059" max="4059" width="4.875" style="424" bestFit="1" customWidth="1"/>
    <col min="4060" max="4060" width="65.75" style="424" customWidth="1"/>
    <col min="4061" max="4062" width="13.25" style="424" customWidth="1"/>
    <col min="4063" max="4063" width="17.125" style="424" customWidth="1"/>
    <col min="4064" max="4066" width="0" style="424" hidden="1" customWidth="1"/>
    <col min="4067" max="4314" width="8.75" style="424"/>
    <col min="4315" max="4315" width="4.875" style="424" bestFit="1" customWidth="1"/>
    <col min="4316" max="4316" width="65.75" style="424" customWidth="1"/>
    <col min="4317" max="4318" width="13.25" style="424" customWidth="1"/>
    <col min="4319" max="4319" width="17.125" style="424" customWidth="1"/>
    <col min="4320" max="4322" width="0" style="424" hidden="1" customWidth="1"/>
    <col min="4323" max="4570" width="8.75" style="424"/>
    <col min="4571" max="4571" width="4.875" style="424" bestFit="1" customWidth="1"/>
    <col min="4572" max="4572" width="65.75" style="424" customWidth="1"/>
    <col min="4573" max="4574" width="13.25" style="424" customWidth="1"/>
    <col min="4575" max="4575" width="17.125" style="424" customWidth="1"/>
    <col min="4576" max="4578" width="0" style="424" hidden="1" customWidth="1"/>
    <col min="4579" max="4826" width="8.75" style="424"/>
    <col min="4827" max="4827" width="4.875" style="424" bestFit="1" customWidth="1"/>
    <col min="4828" max="4828" width="65.75" style="424" customWidth="1"/>
    <col min="4829" max="4830" width="13.25" style="424" customWidth="1"/>
    <col min="4831" max="4831" width="17.125" style="424" customWidth="1"/>
    <col min="4832" max="4834" width="0" style="424" hidden="1" customWidth="1"/>
    <col min="4835" max="5082" width="8.75" style="424"/>
    <col min="5083" max="5083" width="4.875" style="424" bestFit="1" customWidth="1"/>
    <col min="5084" max="5084" width="65.75" style="424" customWidth="1"/>
    <col min="5085" max="5086" width="13.25" style="424" customWidth="1"/>
    <col min="5087" max="5087" width="17.125" style="424" customWidth="1"/>
    <col min="5088" max="5090" width="0" style="424" hidden="1" customWidth="1"/>
    <col min="5091" max="5338" width="8.75" style="424"/>
    <col min="5339" max="5339" width="4.875" style="424" bestFit="1" customWidth="1"/>
    <col min="5340" max="5340" width="65.75" style="424" customWidth="1"/>
    <col min="5341" max="5342" width="13.25" style="424" customWidth="1"/>
    <col min="5343" max="5343" width="17.125" style="424" customWidth="1"/>
    <col min="5344" max="5346" width="0" style="424" hidden="1" customWidth="1"/>
    <col min="5347" max="5594" width="8.75" style="424"/>
    <col min="5595" max="5595" width="4.875" style="424" bestFit="1" customWidth="1"/>
    <col min="5596" max="5596" width="65.75" style="424" customWidth="1"/>
    <col min="5597" max="5598" width="13.25" style="424" customWidth="1"/>
    <col min="5599" max="5599" width="17.125" style="424" customWidth="1"/>
    <col min="5600" max="5602" width="0" style="424" hidden="1" customWidth="1"/>
    <col min="5603" max="5850" width="8.75" style="424"/>
    <col min="5851" max="5851" width="4.875" style="424" bestFit="1" customWidth="1"/>
    <col min="5852" max="5852" width="65.75" style="424" customWidth="1"/>
    <col min="5853" max="5854" width="13.25" style="424" customWidth="1"/>
    <col min="5855" max="5855" width="17.125" style="424" customWidth="1"/>
    <col min="5856" max="5858" width="0" style="424" hidden="1" customWidth="1"/>
    <col min="5859" max="6106" width="8.75" style="424"/>
    <col min="6107" max="6107" width="4.875" style="424" bestFit="1" customWidth="1"/>
    <col min="6108" max="6108" width="65.75" style="424" customWidth="1"/>
    <col min="6109" max="6110" width="13.25" style="424" customWidth="1"/>
    <col min="6111" max="6111" width="17.125" style="424" customWidth="1"/>
    <col min="6112" max="6114" width="0" style="424" hidden="1" customWidth="1"/>
    <col min="6115" max="6362" width="8.75" style="424"/>
    <col min="6363" max="6363" width="4.875" style="424" bestFit="1" customWidth="1"/>
    <col min="6364" max="6364" width="65.75" style="424" customWidth="1"/>
    <col min="6365" max="6366" width="13.25" style="424" customWidth="1"/>
    <col min="6367" max="6367" width="17.125" style="424" customWidth="1"/>
    <col min="6368" max="6370" width="0" style="424" hidden="1" customWidth="1"/>
    <col min="6371" max="6618" width="8.75" style="424"/>
    <col min="6619" max="6619" width="4.875" style="424" bestFit="1" customWidth="1"/>
    <col min="6620" max="6620" width="65.75" style="424" customWidth="1"/>
    <col min="6621" max="6622" width="13.25" style="424" customWidth="1"/>
    <col min="6623" max="6623" width="17.125" style="424" customWidth="1"/>
    <col min="6624" max="6626" width="0" style="424" hidden="1" customWidth="1"/>
    <col min="6627" max="6874" width="8.75" style="424"/>
    <col min="6875" max="6875" width="4.875" style="424" bestFit="1" customWidth="1"/>
    <col min="6876" max="6876" width="65.75" style="424" customWidth="1"/>
    <col min="6877" max="6878" width="13.25" style="424" customWidth="1"/>
    <col min="6879" max="6879" width="17.125" style="424" customWidth="1"/>
    <col min="6880" max="6882" width="0" style="424" hidden="1" customWidth="1"/>
    <col min="6883" max="7130" width="8.75" style="424"/>
    <col min="7131" max="7131" width="4.875" style="424" bestFit="1" customWidth="1"/>
    <col min="7132" max="7132" width="65.75" style="424" customWidth="1"/>
    <col min="7133" max="7134" width="13.25" style="424" customWidth="1"/>
    <col min="7135" max="7135" width="17.125" style="424" customWidth="1"/>
    <col min="7136" max="7138" width="0" style="424" hidden="1" customWidth="1"/>
    <col min="7139" max="7386" width="8.75" style="424"/>
    <col min="7387" max="7387" width="4.875" style="424" bestFit="1" customWidth="1"/>
    <col min="7388" max="7388" width="65.75" style="424" customWidth="1"/>
    <col min="7389" max="7390" width="13.25" style="424" customWidth="1"/>
    <col min="7391" max="7391" width="17.125" style="424" customWidth="1"/>
    <col min="7392" max="7394" width="0" style="424" hidden="1" customWidth="1"/>
    <col min="7395" max="7642" width="8.75" style="424"/>
    <col min="7643" max="7643" width="4.875" style="424" bestFit="1" customWidth="1"/>
    <col min="7644" max="7644" width="65.75" style="424" customWidth="1"/>
    <col min="7645" max="7646" width="13.25" style="424" customWidth="1"/>
    <col min="7647" max="7647" width="17.125" style="424" customWidth="1"/>
    <col min="7648" max="7650" width="0" style="424" hidden="1" customWidth="1"/>
    <col min="7651" max="7898" width="8.75" style="424"/>
    <col min="7899" max="7899" width="4.875" style="424" bestFit="1" customWidth="1"/>
    <col min="7900" max="7900" width="65.75" style="424" customWidth="1"/>
    <col min="7901" max="7902" width="13.25" style="424" customWidth="1"/>
    <col min="7903" max="7903" width="17.125" style="424" customWidth="1"/>
    <col min="7904" max="7906" width="0" style="424" hidden="1" customWidth="1"/>
    <col min="7907" max="8154" width="8.75" style="424"/>
    <col min="8155" max="8155" width="4.875" style="424" bestFit="1" customWidth="1"/>
    <col min="8156" max="8156" width="65.75" style="424" customWidth="1"/>
    <col min="8157" max="8158" width="13.25" style="424" customWidth="1"/>
    <col min="8159" max="8159" width="17.125" style="424" customWidth="1"/>
    <col min="8160" max="8162" width="0" style="424" hidden="1" customWidth="1"/>
    <col min="8163" max="8410" width="8.75" style="424"/>
    <col min="8411" max="8411" width="4.875" style="424" bestFit="1" customWidth="1"/>
    <col min="8412" max="8412" width="65.75" style="424" customWidth="1"/>
    <col min="8413" max="8414" width="13.25" style="424" customWidth="1"/>
    <col min="8415" max="8415" width="17.125" style="424" customWidth="1"/>
    <col min="8416" max="8418" width="0" style="424" hidden="1" customWidth="1"/>
    <col min="8419" max="8666" width="8.75" style="424"/>
    <col min="8667" max="8667" width="4.875" style="424" bestFit="1" customWidth="1"/>
    <col min="8668" max="8668" width="65.75" style="424" customWidth="1"/>
    <col min="8669" max="8670" width="13.25" style="424" customWidth="1"/>
    <col min="8671" max="8671" width="17.125" style="424" customWidth="1"/>
    <col min="8672" max="8674" width="0" style="424" hidden="1" customWidth="1"/>
    <col min="8675" max="8922" width="8.75" style="424"/>
    <col min="8923" max="8923" width="4.875" style="424" bestFit="1" customWidth="1"/>
    <col min="8924" max="8924" width="65.75" style="424" customWidth="1"/>
    <col min="8925" max="8926" width="13.25" style="424" customWidth="1"/>
    <col min="8927" max="8927" width="17.125" style="424" customWidth="1"/>
    <col min="8928" max="8930" width="0" style="424" hidden="1" customWidth="1"/>
    <col min="8931" max="9178" width="8.75" style="424"/>
    <col min="9179" max="9179" width="4.875" style="424" bestFit="1" customWidth="1"/>
    <col min="9180" max="9180" width="65.75" style="424" customWidth="1"/>
    <col min="9181" max="9182" width="13.25" style="424" customWidth="1"/>
    <col min="9183" max="9183" width="17.125" style="424" customWidth="1"/>
    <col min="9184" max="9186" width="0" style="424" hidden="1" customWidth="1"/>
    <col min="9187" max="9434" width="8.75" style="424"/>
    <col min="9435" max="9435" width="4.875" style="424" bestFit="1" customWidth="1"/>
    <col min="9436" max="9436" width="65.75" style="424" customWidth="1"/>
    <col min="9437" max="9438" width="13.25" style="424" customWidth="1"/>
    <col min="9439" max="9439" width="17.125" style="424" customWidth="1"/>
    <col min="9440" max="9442" width="0" style="424" hidden="1" customWidth="1"/>
    <col min="9443" max="9690" width="8.75" style="424"/>
    <col min="9691" max="9691" width="4.875" style="424" bestFit="1" customWidth="1"/>
    <col min="9692" max="9692" width="65.75" style="424" customWidth="1"/>
    <col min="9693" max="9694" width="13.25" style="424" customWidth="1"/>
    <col min="9695" max="9695" width="17.125" style="424" customWidth="1"/>
    <col min="9696" max="9698" width="0" style="424" hidden="1" customWidth="1"/>
    <col min="9699" max="9946" width="8.75" style="424"/>
    <col min="9947" max="9947" width="4.875" style="424" bestFit="1" customWidth="1"/>
    <col min="9948" max="9948" width="65.75" style="424" customWidth="1"/>
    <col min="9949" max="9950" width="13.25" style="424" customWidth="1"/>
    <col min="9951" max="9951" width="17.125" style="424" customWidth="1"/>
    <col min="9952" max="9954" width="0" style="424" hidden="1" customWidth="1"/>
    <col min="9955" max="10202" width="8.75" style="424"/>
    <col min="10203" max="10203" width="4.875" style="424" bestFit="1" customWidth="1"/>
    <col min="10204" max="10204" width="65.75" style="424" customWidth="1"/>
    <col min="10205" max="10206" width="13.25" style="424" customWidth="1"/>
    <col min="10207" max="10207" width="17.125" style="424" customWidth="1"/>
    <col min="10208" max="10210" width="0" style="424" hidden="1" customWidth="1"/>
    <col min="10211" max="10458" width="8.75" style="424"/>
    <col min="10459" max="10459" width="4.875" style="424" bestFit="1" customWidth="1"/>
    <col min="10460" max="10460" width="65.75" style="424" customWidth="1"/>
    <col min="10461" max="10462" width="13.25" style="424" customWidth="1"/>
    <col min="10463" max="10463" width="17.125" style="424" customWidth="1"/>
    <col min="10464" max="10466" width="0" style="424" hidden="1" customWidth="1"/>
    <col min="10467" max="10714" width="8.75" style="424"/>
    <col min="10715" max="10715" width="4.875" style="424" bestFit="1" customWidth="1"/>
    <col min="10716" max="10716" width="65.75" style="424" customWidth="1"/>
    <col min="10717" max="10718" width="13.25" style="424" customWidth="1"/>
    <col min="10719" max="10719" width="17.125" style="424" customWidth="1"/>
    <col min="10720" max="10722" width="0" style="424" hidden="1" customWidth="1"/>
    <col min="10723" max="10970" width="8.75" style="424"/>
    <col min="10971" max="10971" width="4.875" style="424" bestFit="1" customWidth="1"/>
    <col min="10972" max="10972" width="65.75" style="424" customWidth="1"/>
    <col min="10973" max="10974" width="13.25" style="424" customWidth="1"/>
    <col min="10975" max="10975" width="17.125" style="424" customWidth="1"/>
    <col min="10976" max="10978" width="0" style="424" hidden="1" customWidth="1"/>
    <col min="10979" max="11226" width="8.75" style="424"/>
    <col min="11227" max="11227" width="4.875" style="424" bestFit="1" customWidth="1"/>
    <col min="11228" max="11228" width="65.75" style="424" customWidth="1"/>
    <col min="11229" max="11230" width="13.25" style="424" customWidth="1"/>
    <col min="11231" max="11231" width="17.125" style="424" customWidth="1"/>
    <col min="11232" max="11234" width="0" style="424" hidden="1" customWidth="1"/>
    <col min="11235" max="11482" width="8.75" style="424"/>
    <col min="11483" max="11483" width="4.875" style="424" bestFit="1" customWidth="1"/>
    <col min="11484" max="11484" width="65.75" style="424" customWidth="1"/>
    <col min="11485" max="11486" width="13.25" style="424" customWidth="1"/>
    <col min="11487" max="11487" width="17.125" style="424" customWidth="1"/>
    <col min="11488" max="11490" width="0" style="424" hidden="1" customWidth="1"/>
    <col min="11491" max="11738" width="8.75" style="424"/>
    <col min="11739" max="11739" width="4.875" style="424" bestFit="1" customWidth="1"/>
    <col min="11740" max="11740" width="65.75" style="424" customWidth="1"/>
    <col min="11741" max="11742" width="13.25" style="424" customWidth="1"/>
    <col min="11743" max="11743" width="17.125" style="424" customWidth="1"/>
    <col min="11744" max="11746" width="0" style="424" hidden="1" customWidth="1"/>
    <col min="11747" max="11994" width="8.75" style="424"/>
    <col min="11995" max="11995" width="4.875" style="424" bestFit="1" customWidth="1"/>
    <col min="11996" max="11996" width="65.75" style="424" customWidth="1"/>
    <col min="11997" max="11998" width="13.25" style="424" customWidth="1"/>
    <col min="11999" max="11999" width="17.125" style="424" customWidth="1"/>
    <col min="12000" max="12002" width="0" style="424" hidden="1" customWidth="1"/>
    <col min="12003" max="12250" width="8.75" style="424"/>
    <col min="12251" max="12251" width="4.875" style="424" bestFit="1" customWidth="1"/>
    <col min="12252" max="12252" width="65.75" style="424" customWidth="1"/>
    <col min="12253" max="12254" width="13.25" style="424" customWidth="1"/>
    <col min="12255" max="12255" width="17.125" style="424" customWidth="1"/>
    <col min="12256" max="12258" width="0" style="424" hidden="1" customWidth="1"/>
    <col min="12259" max="12506" width="8.75" style="424"/>
    <col min="12507" max="12507" width="4.875" style="424" bestFit="1" customWidth="1"/>
    <col min="12508" max="12508" width="65.75" style="424" customWidth="1"/>
    <col min="12509" max="12510" width="13.25" style="424" customWidth="1"/>
    <col min="12511" max="12511" width="17.125" style="424" customWidth="1"/>
    <col min="12512" max="12514" width="0" style="424" hidden="1" customWidth="1"/>
    <col min="12515" max="12762" width="8.75" style="424"/>
    <col min="12763" max="12763" width="4.875" style="424" bestFit="1" customWidth="1"/>
    <col min="12764" max="12764" width="65.75" style="424" customWidth="1"/>
    <col min="12765" max="12766" width="13.25" style="424" customWidth="1"/>
    <col min="12767" max="12767" width="17.125" style="424" customWidth="1"/>
    <col min="12768" max="12770" width="0" style="424" hidden="1" customWidth="1"/>
    <col min="12771" max="13018" width="8.75" style="424"/>
    <col min="13019" max="13019" width="4.875" style="424" bestFit="1" customWidth="1"/>
    <col min="13020" max="13020" width="65.75" style="424" customWidth="1"/>
    <col min="13021" max="13022" width="13.25" style="424" customWidth="1"/>
    <col min="13023" max="13023" width="17.125" style="424" customWidth="1"/>
    <col min="13024" max="13026" width="0" style="424" hidden="1" customWidth="1"/>
    <col min="13027" max="13274" width="8.75" style="424"/>
    <col min="13275" max="13275" width="4.875" style="424" bestFit="1" customWidth="1"/>
    <col min="13276" max="13276" width="65.75" style="424" customWidth="1"/>
    <col min="13277" max="13278" width="13.25" style="424" customWidth="1"/>
    <col min="13279" max="13279" width="17.125" style="424" customWidth="1"/>
    <col min="13280" max="13282" width="0" style="424" hidden="1" customWidth="1"/>
    <col min="13283" max="13530" width="8.75" style="424"/>
    <col min="13531" max="13531" width="4.875" style="424" bestFit="1" customWidth="1"/>
    <col min="13532" max="13532" width="65.75" style="424" customWidth="1"/>
    <col min="13533" max="13534" width="13.25" style="424" customWidth="1"/>
    <col min="13535" max="13535" width="17.125" style="424" customWidth="1"/>
    <col min="13536" max="13538" width="0" style="424" hidden="1" customWidth="1"/>
    <col min="13539" max="13786" width="8.75" style="424"/>
    <col min="13787" max="13787" width="4.875" style="424" bestFit="1" customWidth="1"/>
    <col min="13788" max="13788" width="65.75" style="424" customWidth="1"/>
    <col min="13789" max="13790" width="13.25" style="424" customWidth="1"/>
    <col min="13791" max="13791" width="17.125" style="424" customWidth="1"/>
    <col min="13792" max="13794" width="0" style="424" hidden="1" customWidth="1"/>
    <col min="13795" max="14042" width="8.75" style="424"/>
    <col min="14043" max="14043" width="4.875" style="424" bestFit="1" customWidth="1"/>
    <col min="14044" max="14044" width="65.75" style="424" customWidth="1"/>
    <col min="14045" max="14046" width="13.25" style="424" customWidth="1"/>
    <col min="14047" max="14047" width="17.125" style="424" customWidth="1"/>
    <col min="14048" max="14050" width="0" style="424" hidden="1" customWidth="1"/>
    <col min="14051" max="14298" width="8.75" style="424"/>
    <col min="14299" max="14299" width="4.875" style="424" bestFit="1" customWidth="1"/>
    <col min="14300" max="14300" width="65.75" style="424" customWidth="1"/>
    <col min="14301" max="14302" width="13.25" style="424" customWidth="1"/>
    <col min="14303" max="14303" width="17.125" style="424" customWidth="1"/>
    <col min="14304" max="14306" width="0" style="424" hidden="1" customWidth="1"/>
    <col min="14307" max="14554" width="8.75" style="424"/>
    <col min="14555" max="14555" width="4.875" style="424" bestFit="1" customWidth="1"/>
    <col min="14556" max="14556" width="65.75" style="424" customWidth="1"/>
    <col min="14557" max="14558" width="13.25" style="424" customWidth="1"/>
    <col min="14559" max="14559" width="17.125" style="424" customWidth="1"/>
    <col min="14560" max="14562" width="0" style="424" hidden="1" customWidth="1"/>
    <col min="14563" max="14810" width="8.75" style="424"/>
    <col min="14811" max="14811" width="4.875" style="424" bestFit="1" customWidth="1"/>
    <col min="14812" max="14812" width="65.75" style="424" customWidth="1"/>
    <col min="14813" max="14814" width="13.25" style="424" customWidth="1"/>
    <col min="14815" max="14815" width="17.125" style="424" customWidth="1"/>
    <col min="14816" max="14818" width="0" style="424" hidden="1" customWidth="1"/>
    <col min="14819" max="15066" width="8.75" style="424"/>
    <col min="15067" max="15067" width="4.875" style="424" bestFit="1" customWidth="1"/>
    <col min="15068" max="15068" width="65.75" style="424" customWidth="1"/>
    <col min="15069" max="15070" width="13.25" style="424" customWidth="1"/>
    <col min="15071" max="15071" width="17.125" style="424" customWidth="1"/>
    <col min="15072" max="15074" width="0" style="424" hidden="1" customWidth="1"/>
    <col min="15075" max="15322" width="8.75" style="424"/>
    <col min="15323" max="15323" width="4.875" style="424" bestFit="1" customWidth="1"/>
    <col min="15324" max="15324" width="65.75" style="424" customWidth="1"/>
    <col min="15325" max="15326" width="13.25" style="424" customWidth="1"/>
    <col min="15327" max="15327" width="17.125" style="424" customWidth="1"/>
    <col min="15328" max="15330" width="0" style="424" hidden="1" customWidth="1"/>
    <col min="15331" max="15578" width="8.75" style="424"/>
    <col min="15579" max="15579" width="4.875" style="424" bestFit="1" customWidth="1"/>
    <col min="15580" max="15580" width="65.75" style="424" customWidth="1"/>
    <col min="15581" max="15582" width="13.25" style="424" customWidth="1"/>
    <col min="15583" max="15583" width="17.125" style="424" customWidth="1"/>
    <col min="15584" max="15586" width="0" style="424" hidden="1" customWidth="1"/>
    <col min="15587" max="15834" width="8.75" style="424"/>
    <col min="15835" max="15835" width="4.875" style="424" bestFit="1" customWidth="1"/>
    <col min="15836" max="15836" width="65.75" style="424" customWidth="1"/>
    <col min="15837" max="15838" width="13.25" style="424" customWidth="1"/>
    <col min="15839" max="15839" width="17.125" style="424" customWidth="1"/>
    <col min="15840" max="15842" width="0" style="424" hidden="1" customWidth="1"/>
    <col min="15843" max="16090" width="8.75" style="424"/>
    <col min="16091" max="16091" width="4.875" style="424" bestFit="1" customWidth="1"/>
    <col min="16092" max="16092" width="65.75" style="424" customWidth="1"/>
    <col min="16093" max="16094" width="13.25" style="424" customWidth="1"/>
    <col min="16095" max="16095" width="17.125" style="424" customWidth="1"/>
    <col min="16096" max="16098" width="0" style="424" hidden="1" customWidth="1"/>
    <col min="16099" max="16384" width="8.75" style="424"/>
  </cols>
  <sheetData>
    <row r="1" spans="1:11" ht="39.75" customHeight="1" x14ac:dyDescent="0.3">
      <c r="A1" s="998" t="s">
        <v>519</v>
      </c>
      <c r="B1" s="998"/>
      <c r="C1" s="998"/>
      <c r="D1" s="998"/>
      <c r="E1" s="998"/>
      <c r="F1" s="998"/>
      <c r="G1" s="998"/>
      <c r="H1" s="998"/>
      <c r="I1" s="998"/>
      <c r="J1" s="998"/>
      <c r="K1" s="998"/>
    </row>
    <row r="2" spans="1:11" ht="16.5" thickBot="1" x14ac:dyDescent="0.3"/>
    <row r="3" spans="1:11" ht="63.75" thickBot="1" x14ac:dyDescent="0.3">
      <c r="A3" s="264"/>
      <c r="B3" s="265" t="s">
        <v>136</v>
      </c>
      <c r="C3" s="266" t="s">
        <v>823</v>
      </c>
      <c r="D3" s="267" t="s">
        <v>629</v>
      </c>
      <c r="E3" s="267" t="s">
        <v>824</v>
      </c>
      <c r="F3" s="266" t="s">
        <v>774</v>
      </c>
      <c r="G3" s="267" t="s">
        <v>775</v>
      </c>
      <c r="H3" s="267" t="s">
        <v>630</v>
      </c>
      <c r="I3" s="267" t="s">
        <v>131</v>
      </c>
      <c r="J3" s="267" t="s">
        <v>132</v>
      </c>
      <c r="K3" s="267" t="s">
        <v>334</v>
      </c>
    </row>
    <row r="4" spans="1:11" x14ac:dyDescent="0.25">
      <c r="A4" s="268" t="s">
        <v>76</v>
      </c>
      <c r="B4" s="269" t="s">
        <v>109</v>
      </c>
      <c r="C4" s="270">
        <f>SUM(C5,C9,C70,C71,C74)</f>
        <v>5756730</v>
      </c>
      <c r="D4" s="270">
        <f>SUM(D5,D9,D70,D71,D74)</f>
        <v>0</v>
      </c>
      <c r="E4" s="270">
        <f>SUM(C4:D4)</f>
        <v>5756730</v>
      </c>
      <c r="F4" s="270">
        <f>SUM(F5,F9,F70,F71,F74)</f>
        <v>10662</v>
      </c>
      <c r="G4" s="270">
        <f>SUM(G5,G9,G70,G71,G74)</f>
        <v>5746068</v>
      </c>
      <c r="H4" s="270">
        <f>SUM(H5,H9,H70,H71,H74)</f>
        <v>0</v>
      </c>
      <c r="I4" s="271" t="s">
        <v>520</v>
      </c>
      <c r="J4" s="271" t="s">
        <v>520</v>
      </c>
      <c r="K4" s="271"/>
    </row>
    <row r="5" spans="1:11" x14ac:dyDescent="0.25">
      <c r="A5" s="272"/>
      <c r="B5" s="273" t="s">
        <v>77</v>
      </c>
      <c r="C5" s="274">
        <f>SUM(C6:C8)</f>
        <v>4644121</v>
      </c>
      <c r="D5" s="274">
        <f>SUM(D6:D8)</f>
        <v>0</v>
      </c>
      <c r="E5" s="274">
        <f t="shared" ref="E5:E98" si="0">SUM(C5:D5)</f>
        <v>4644121</v>
      </c>
      <c r="F5" s="274">
        <f>SUM(F6:F8)</f>
        <v>3565</v>
      </c>
      <c r="G5" s="274">
        <f>SUM(G6:G8)</f>
        <v>4640556</v>
      </c>
      <c r="H5" s="274">
        <f>SUM(H6:H8)</f>
        <v>0</v>
      </c>
      <c r="I5" s="275" t="s">
        <v>520</v>
      </c>
      <c r="J5" s="275" t="s">
        <v>520</v>
      </c>
      <c r="K5" s="275"/>
    </row>
    <row r="6" spans="1:11" x14ac:dyDescent="0.25">
      <c r="A6" s="272"/>
      <c r="B6" s="426" t="s">
        <v>78</v>
      </c>
      <c r="C6" s="427">
        <v>1184058</v>
      </c>
      <c r="D6" s="427"/>
      <c r="E6" s="427">
        <f>SUM(C6:D6)</f>
        <v>1184058</v>
      </c>
      <c r="F6" s="427">
        <v>3565</v>
      </c>
      <c r="G6" s="427">
        <f>346275-53-22000+532789+194689+23782-100000+190989+-80+14099+3</f>
        <v>1180493</v>
      </c>
      <c r="H6" s="427"/>
      <c r="I6" s="381" t="s">
        <v>520</v>
      </c>
      <c r="J6" s="381" t="s">
        <v>520</v>
      </c>
      <c r="K6" s="381"/>
    </row>
    <row r="7" spans="1:11" x14ac:dyDescent="0.25">
      <c r="A7" s="272"/>
      <c r="B7" s="426" t="s">
        <v>335</v>
      </c>
      <c r="C7" s="427">
        <v>14036</v>
      </c>
      <c r="D7" s="427"/>
      <c r="E7" s="427">
        <f t="shared" si="0"/>
        <v>14036</v>
      </c>
      <c r="F7" s="427"/>
      <c r="G7" s="427">
        <v>14036</v>
      </c>
      <c r="H7" s="427"/>
      <c r="I7" s="381"/>
      <c r="J7" s="381" t="s">
        <v>520</v>
      </c>
      <c r="K7" s="381"/>
    </row>
    <row r="8" spans="1:11" x14ac:dyDescent="0.25">
      <c r="A8" s="272"/>
      <c r="B8" s="426" t="s">
        <v>457</v>
      </c>
      <c r="C8" s="427">
        <v>3446027</v>
      </c>
      <c r="D8" s="427">
        <v>0</v>
      </c>
      <c r="E8" s="427">
        <f t="shared" si="0"/>
        <v>3446027</v>
      </c>
      <c r="F8" s="427"/>
      <c r="G8" s="427">
        <f>3610597-164570</f>
        <v>3446027</v>
      </c>
      <c r="H8" s="427"/>
      <c r="I8" s="381" t="s">
        <v>520</v>
      </c>
      <c r="J8" s="381"/>
      <c r="K8" s="381"/>
    </row>
    <row r="9" spans="1:11" x14ac:dyDescent="0.25">
      <c r="A9" s="272"/>
      <c r="B9" s="276" t="s">
        <v>79</v>
      </c>
      <c r="C9" s="274">
        <f>SUM(C10,C64,C69)</f>
        <v>438037</v>
      </c>
      <c r="D9" s="274">
        <f>SUM(D10,D64,D69)</f>
        <v>0</v>
      </c>
      <c r="E9" s="274">
        <f t="shared" si="0"/>
        <v>438037</v>
      </c>
      <c r="F9" s="274">
        <f>SUM(F10,F64,F69)</f>
        <v>6907</v>
      </c>
      <c r="G9" s="274">
        <f>SUM(G10,G64,G69)</f>
        <v>431130</v>
      </c>
      <c r="H9" s="274">
        <f>SUM(H10,H64,H69)</f>
        <v>0</v>
      </c>
      <c r="I9" s="275" t="s">
        <v>520</v>
      </c>
      <c r="J9" s="275" t="s">
        <v>520</v>
      </c>
      <c r="K9" s="275"/>
    </row>
    <row r="10" spans="1:11" x14ac:dyDescent="0.25">
      <c r="A10" s="272"/>
      <c r="B10" s="426" t="s">
        <v>80</v>
      </c>
      <c r="C10" s="427">
        <v>414352</v>
      </c>
      <c r="D10" s="427"/>
      <c r="E10" s="427">
        <f t="shared" si="0"/>
        <v>414352</v>
      </c>
      <c r="F10" s="427">
        <v>6907</v>
      </c>
      <c r="G10" s="427">
        <f>349373-10000-5000-4500-1000-10000-2000-500-500-250-1000-250-100-2500-4700-500-2000-4000-600-2500-2346-1000-2000-1800-1000-500-1000-10000-5000-5000-5000-483+7439+12000+3953+233+110470+10000+2000+2000+2000+2500+2000+1000+2000+3000+7000-7000+1293-30000+2213+11000</f>
        <v>407445</v>
      </c>
      <c r="H10" s="427"/>
      <c r="I10" s="381" t="s">
        <v>520</v>
      </c>
      <c r="J10" s="381" t="s">
        <v>520</v>
      </c>
      <c r="K10" s="381"/>
    </row>
    <row r="11" spans="1:11" s="283" customFormat="1" x14ac:dyDescent="0.25">
      <c r="A11" s="277"/>
      <c r="B11" s="278" t="s">
        <v>240</v>
      </c>
      <c r="C11" s="279">
        <v>2000</v>
      </c>
      <c r="D11" s="280"/>
      <c r="E11" s="281">
        <f t="shared" si="0"/>
        <v>2000</v>
      </c>
      <c r="F11" s="279">
        <v>0</v>
      </c>
      <c r="G11" s="280">
        <v>2000</v>
      </c>
      <c r="H11" s="280"/>
      <c r="I11" s="282"/>
      <c r="J11" s="282" t="s">
        <v>520</v>
      </c>
      <c r="K11" s="282"/>
    </row>
    <row r="12" spans="1:11" s="283" customFormat="1" x14ac:dyDescent="0.25">
      <c r="A12" s="277"/>
      <c r="B12" s="278" t="s">
        <v>101</v>
      </c>
      <c r="C12" s="279">
        <v>2000</v>
      </c>
      <c r="D12" s="280"/>
      <c r="E12" s="281">
        <f t="shared" si="0"/>
        <v>2000</v>
      </c>
      <c r="F12" s="279">
        <v>0</v>
      </c>
      <c r="G12" s="280">
        <v>2000</v>
      </c>
      <c r="H12" s="280"/>
      <c r="I12" s="282"/>
      <c r="J12" s="282" t="s">
        <v>520</v>
      </c>
      <c r="K12" s="282"/>
    </row>
    <row r="13" spans="1:11" s="283" customFormat="1" x14ac:dyDescent="0.25">
      <c r="A13" s="277"/>
      <c r="B13" s="278" t="s">
        <v>102</v>
      </c>
      <c r="C13" s="279">
        <v>4091</v>
      </c>
      <c r="D13" s="280"/>
      <c r="E13" s="281">
        <f t="shared" si="0"/>
        <v>4091</v>
      </c>
      <c r="F13" s="279"/>
      <c r="G13" s="280">
        <v>4091</v>
      </c>
      <c r="H13" s="280"/>
      <c r="I13" s="282"/>
      <c r="J13" s="282" t="s">
        <v>520</v>
      </c>
      <c r="K13" s="282"/>
    </row>
    <row r="14" spans="1:11" s="283" customFormat="1" x14ac:dyDescent="0.25">
      <c r="A14" s="277"/>
      <c r="B14" s="278" t="s">
        <v>241</v>
      </c>
      <c r="C14" s="279">
        <v>9644</v>
      </c>
      <c r="D14" s="280"/>
      <c r="E14" s="281">
        <f t="shared" si="0"/>
        <v>9644</v>
      </c>
      <c r="F14" s="279">
        <v>25</v>
      </c>
      <c r="G14" s="280">
        <v>9619</v>
      </c>
      <c r="H14" s="280"/>
      <c r="I14" s="282"/>
      <c r="J14" s="282" t="s">
        <v>520</v>
      </c>
      <c r="K14" s="282"/>
    </row>
    <row r="15" spans="1:11" s="283" customFormat="1" x14ac:dyDescent="0.25">
      <c r="A15" s="277"/>
      <c r="B15" s="278" t="s">
        <v>569</v>
      </c>
      <c r="C15" s="279">
        <v>350</v>
      </c>
      <c r="D15" s="280"/>
      <c r="E15" s="281">
        <f t="shared" si="0"/>
        <v>350</v>
      </c>
      <c r="F15" s="279">
        <v>0</v>
      </c>
      <c r="G15" s="280">
        <v>350</v>
      </c>
      <c r="H15" s="280"/>
      <c r="I15" s="282"/>
      <c r="J15" s="282" t="s">
        <v>520</v>
      </c>
      <c r="K15" s="282"/>
    </row>
    <row r="16" spans="1:11" s="283" customFormat="1" x14ac:dyDescent="0.25">
      <c r="A16" s="277"/>
      <c r="B16" s="278" t="s">
        <v>242</v>
      </c>
      <c r="C16" s="279">
        <v>400</v>
      </c>
      <c r="D16" s="280"/>
      <c r="E16" s="281">
        <f t="shared" si="0"/>
        <v>400</v>
      </c>
      <c r="F16" s="279">
        <v>0</v>
      </c>
      <c r="G16" s="280">
        <v>400</v>
      </c>
      <c r="H16" s="280"/>
      <c r="I16" s="282"/>
      <c r="J16" s="282" t="s">
        <v>520</v>
      </c>
      <c r="K16" s="282"/>
    </row>
    <row r="17" spans="1:11" s="283" customFormat="1" x14ac:dyDescent="0.25">
      <c r="A17" s="277"/>
      <c r="B17" s="278" t="s">
        <v>243</v>
      </c>
      <c r="C17" s="279">
        <v>15000</v>
      </c>
      <c r="D17" s="280"/>
      <c r="E17" s="281">
        <f t="shared" si="0"/>
        <v>15000</v>
      </c>
      <c r="F17" s="279">
        <v>0</v>
      </c>
      <c r="G17" s="280">
        <v>15000</v>
      </c>
      <c r="H17" s="280"/>
      <c r="I17" s="282"/>
      <c r="J17" s="282" t="s">
        <v>520</v>
      </c>
      <c r="K17" s="282"/>
    </row>
    <row r="18" spans="1:11" s="283" customFormat="1" x14ac:dyDescent="0.25">
      <c r="A18" s="277"/>
      <c r="B18" s="278" t="s">
        <v>244</v>
      </c>
      <c r="C18" s="279">
        <v>4000</v>
      </c>
      <c r="D18" s="280"/>
      <c r="E18" s="281">
        <f t="shared" si="0"/>
        <v>4000</v>
      </c>
      <c r="F18" s="279">
        <v>0</v>
      </c>
      <c r="G18" s="280">
        <f>2000+2000</f>
        <v>4000</v>
      </c>
      <c r="H18" s="280"/>
      <c r="I18" s="282"/>
      <c r="J18" s="282" t="s">
        <v>520</v>
      </c>
      <c r="K18" s="282"/>
    </row>
    <row r="19" spans="1:11" s="283" customFormat="1" x14ac:dyDescent="0.25">
      <c r="A19" s="277"/>
      <c r="B19" s="278" t="s">
        <v>245</v>
      </c>
      <c r="C19" s="279">
        <v>4000</v>
      </c>
      <c r="D19" s="280"/>
      <c r="E19" s="281">
        <f t="shared" si="0"/>
        <v>4000</v>
      </c>
      <c r="F19" s="279">
        <v>0</v>
      </c>
      <c r="G19" s="280">
        <f>2000+2000</f>
        <v>4000</v>
      </c>
      <c r="H19" s="280"/>
      <c r="I19" s="282"/>
      <c r="J19" s="282" t="s">
        <v>520</v>
      </c>
      <c r="K19" s="282"/>
    </row>
    <row r="20" spans="1:11" s="283" customFormat="1" x14ac:dyDescent="0.25">
      <c r="A20" s="277"/>
      <c r="B20" s="278" t="s">
        <v>246</v>
      </c>
      <c r="C20" s="279">
        <v>4000</v>
      </c>
      <c r="D20" s="280"/>
      <c r="E20" s="281">
        <f t="shared" si="0"/>
        <v>4000</v>
      </c>
      <c r="F20" s="279">
        <v>0</v>
      </c>
      <c r="G20" s="280">
        <f>2000+2000</f>
        <v>4000</v>
      </c>
      <c r="H20" s="280"/>
      <c r="I20" s="282"/>
      <c r="J20" s="282" t="s">
        <v>520</v>
      </c>
      <c r="K20" s="282"/>
    </row>
    <row r="21" spans="1:11" s="283" customFormat="1" ht="31.5" x14ac:dyDescent="0.25">
      <c r="A21" s="277"/>
      <c r="B21" s="278" t="s">
        <v>247</v>
      </c>
      <c r="C21" s="279">
        <v>2000</v>
      </c>
      <c r="D21" s="280"/>
      <c r="E21" s="281">
        <f t="shared" si="0"/>
        <v>2000</v>
      </c>
      <c r="F21" s="279">
        <v>0</v>
      </c>
      <c r="G21" s="280">
        <f>4000-2000</f>
        <v>2000</v>
      </c>
      <c r="H21" s="280"/>
      <c r="I21" s="284"/>
      <c r="J21" s="284" t="s">
        <v>520</v>
      </c>
      <c r="K21" s="284"/>
    </row>
    <row r="22" spans="1:11" s="283" customFormat="1" ht="31.5" x14ac:dyDescent="0.25">
      <c r="A22" s="277"/>
      <c r="B22" s="278" t="s">
        <v>521</v>
      </c>
      <c r="C22" s="279">
        <v>1000</v>
      </c>
      <c r="D22" s="280"/>
      <c r="E22" s="281">
        <f t="shared" si="0"/>
        <v>1000</v>
      </c>
      <c r="F22" s="279"/>
      <c r="G22" s="280">
        <v>1000</v>
      </c>
      <c r="H22" s="280"/>
      <c r="I22" s="284"/>
      <c r="J22" s="284" t="s">
        <v>520</v>
      </c>
      <c r="K22" s="284"/>
    </row>
    <row r="23" spans="1:11" s="283" customFormat="1" x14ac:dyDescent="0.25">
      <c r="A23" s="277"/>
      <c r="B23" s="278" t="s">
        <v>954</v>
      </c>
      <c r="C23" s="279">
        <v>2000</v>
      </c>
      <c r="D23" s="280"/>
      <c r="E23" s="281">
        <f t="shared" si="0"/>
        <v>2000</v>
      </c>
      <c r="F23" s="279">
        <v>0</v>
      </c>
      <c r="G23" s="280">
        <v>2000</v>
      </c>
      <c r="H23" s="280"/>
      <c r="I23" s="284"/>
      <c r="J23" s="284" t="s">
        <v>520</v>
      </c>
      <c r="K23" s="284"/>
    </row>
    <row r="24" spans="1:11" s="283" customFormat="1" ht="16.5" customHeight="1" x14ac:dyDescent="0.25">
      <c r="A24" s="277"/>
      <c r="B24" s="278" t="s">
        <v>955</v>
      </c>
      <c r="C24" s="279">
        <v>3000</v>
      </c>
      <c r="D24" s="280"/>
      <c r="E24" s="281">
        <f t="shared" si="0"/>
        <v>3000</v>
      </c>
      <c r="F24" s="279">
        <v>0</v>
      </c>
      <c r="G24" s="280">
        <v>3000</v>
      </c>
      <c r="H24" s="280"/>
      <c r="I24" s="284"/>
      <c r="J24" s="284" t="s">
        <v>520</v>
      </c>
      <c r="K24" s="284"/>
    </row>
    <row r="25" spans="1:11" s="283" customFormat="1" ht="16.5" customHeight="1" x14ac:dyDescent="0.25">
      <c r="A25" s="277"/>
      <c r="B25" s="278" t="s">
        <v>956</v>
      </c>
      <c r="C25" s="279">
        <v>7000</v>
      </c>
      <c r="D25" s="280"/>
      <c r="E25" s="281">
        <f t="shared" ref="E25" si="1">SUM(C25:D25)</f>
        <v>7000</v>
      </c>
      <c r="F25" s="279">
        <v>0</v>
      </c>
      <c r="G25" s="280">
        <v>7000</v>
      </c>
      <c r="H25" s="280"/>
      <c r="I25" s="284"/>
      <c r="J25" s="284" t="s">
        <v>520</v>
      </c>
      <c r="K25" s="284"/>
    </row>
    <row r="26" spans="1:11" s="283" customFormat="1" x14ac:dyDescent="0.25">
      <c r="A26" s="277"/>
      <c r="B26" s="278" t="s">
        <v>248</v>
      </c>
      <c r="C26" s="279">
        <v>250</v>
      </c>
      <c r="D26" s="280"/>
      <c r="E26" s="281">
        <f t="shared" si="0"/>
        <v>250</v>
      </c>
      <c r="F26" s="279">
        <v>0</v>
      </c>
      <c r="G26" s="280">
        <f>500-250</f>
        <v>250</v>
      </c>
      <c r="H26" s="280"/>
      <c r="I26" s="284"/>
      <c r="J26" s="284" t="s">
        <v>520</v>
      </c>
      <c r="K26" s="284"/>
    </row>
    <row r="27" spans="1:11" s="283" customFormat="1" x14ac:dyDescent="0.25">
      <c r="A27" s="277"/>
      <c r="B27" s="278" t="s">
        <v>249</v>
      </c>
      <c r="C27" s="279">
        <v>100</v>
      </c>
      <c r="D27" s="280"/>
      <c r="E27" s="281">
        <f t="shared" si="0"/>
        <v>100</v>
      </c>
      <c r="F27" s="279">
        <v>0</v>
      </c>
      <c r="G27" s="280">
        <f>200-100</f>
        <v>100</v>
      </c>
      <c r="H27" s="280"/>
      <c r="I27" s="284"/>
      <c r="J27" s="284" t="s">
        <v>520</v>
      </c>
      <c r="K27" s="284"/>
    </row>
    <row r="28" spans="1:11" s="283" customFormat="1" ht="31.5" x14ac:dyDescent="0.25">
      <c r="A28" s="277"/>
      <c r="B28" s="278" t="s">
        <v>570</v>
      </c>
      <c r="C28" s="279">
        <v>3500</v>
      </c>
      <c r="D28" s="285"/>
      <c r="E28" s="281">
        <f t="shared" si="0"/>
        <v>3500</v>
      </c>
      <c r="F28" s="279">
        <v>3500</v>
      </c>
      <c r="G28" s="285">
        <f>2500-2500</f>
        <v>0</v>
      </c>
      <c r="H28" s="285"/>
      <c r="I28" s="284"/>
      <c r="J28" s="284" t="s">
        <v>520</v>
      </c>
      <c r="K28" s="284"/>
    </row>
    <row r="29" spans="1:11" s="283" customFormat="1" x14ac:dyDescent="0.25">
      <c r="A29" s="277"/>
      <c r="B29" s="278" t="s">
        <v>571</v>
      </c>
      <c r="C29" s="279">
        <v>500</v>
      </c>
      <c r="D29" s="285"/>
      <c r="E29" s="281">
        <f t="shared" si="0"/>
        <v>500</v>
      </c>
      <c r="F29" s="279"/>
      <c r="G29" s="285">
        <f>1000-500</f>
        <v>500</v>
      </c>
      <c r="H29" s="285"/>
      <c r="I29" s="284"/>
      <c r="J29" s="284" t="s">
        <v>520</v>
      </c>
      <c r="K29" s="284"/>
    </row>
    <row r="30" spans="1:11" s="283" customFormat="1" ht="31.5" x14ac:dyDescent="0.25">
      <c r="A30" s="277"/>
      <c r="B30" s="278" t="s">
        <v>572</v>
      </c>
      <c r="C30" s="279">
        <v>1000</v>
      </c>
      <c r="D30" s="285"/>
      <c r="E30" s="281">
        <f t="shared" si="0"/>
        <v>1000</v>
      </c>
      <c r="F30" s="279"/>
      <c r="G30" s="285">
        <v>1000</v>
      </c>
      <c r="H30" s="285"/>
      <c r="I30" s="284"/>
      <c r="J30" s="284" t="s">
        <v>520</v>
      </c>
      <c r="K30" s="284"/>
    </row>
    <row r="31" spans="1:11" s="283" customFormat="1" ht="31.5" x14ac:dyDescent="0.25">
      <c r="A31" s="277"/>
      <c r="B31" s="278" t="s">
        <v>573</v>
      </c>
      <c r="C31" s="279">
        <v>4250</v>
      </c>
      <c r="D31" s="285"/>
      <c r="E31" s="281">
        <f t="shared" si="0"/>
        <v>4250</v>
      </c>
      <c r="F31" s="279"/>
      <c r="G31" s="285">
        <v>4250</v>
      </c>
      <c r="H31" s="285"/>
      <c r="I31" s="284"/>
      <c r="J31" s="284" t="s">
        <v>520</v>
      </c>
      <c r="K31" s="284"/>
    </row>
    <row r="32" spans="1:11" s="283" customFormat="1" ht="43.5" customHeight="1" x14ac:dyDescent="0.25">
      <c r="A32" s="277"/>
      <c r="B32" s="278" t="s">
        <v>574</v>
      </c>
      <c r="C32" s="279">
        <v>1000</v>
      </c>
      <c r="D32" s="285"/>
      <c r="E32" s="281">
        <f t="shared" si="0"/>
        <v>1000</v>
      </c>
      <c r="F32" s="279"/>
      <c r="G32" s="285">
        <f>5000-4000</f>
        <v>1000</v>
      </c>
      <c r="H32" s="285"/>
      <c r="I32" s="284"/>
      <c r="J32" s="284" t="s">
        <v>520</v>
      </c>
      <c r="K32" s="284"/>
    </row>
    <row r="33" spans="1:11" s="283" customFormat="1" x14ac:dyDescent="0.25">
      <c r="A33" s="277"/>
      <c r="B33" s="278" t="s">
        <v>575</v>
      </c>
      <c r="C33" s="279">
        <v>2371</v>
      </c>
      <c r="D33" s="285"/>
      <c r="E33" s="281">
        <f t="shared" si="0"/>
        <v>2371</v>
      </c>
      <c r="F33" s="279">
        <v>190</v>
      </c>
      <c r="G33" s="285">
        <f>7881-1000-4700</f>
        <v>2181</v>
      </c>
      <c r="H33" s="285"/>
      <c r="I33" s="284"/>
      <c r="J33" s="284" t="s">
        <v>520</v>
      </c>
      <c r="K33" s="284"/>
    </row>
    <row r="34" spans="1:11" s="283" customFormat="1" x14ac:dyDescent="0.25">
      <c r="A34" s="277"/>
      <c r="B34" s="278" t="s">
        <v>672</v>
      </c>
      <c r="C34" s="279">
        <v>10104</v>
      </c>
      <c r="D34" s="285"/>
      <c r="E34" s="281">
        <f t="shared" si="0"/>
        <v>10104</v>
      </c>
      <c r="F34" s="279"/>
      <c r="G34" s="285">
        <f>6598+1293+2213</f>
        <v>10104</v>
      </c>
      <c r="H34" s="285"/>
      <c r="I34" s="284"/>
      <c r="J34" s="284" t="s">
        <v>520</v>
      </c>
      <c r="K34" s="284"/>
    </row>
    <row r="35" spans="1:11" s="283" customFormat="1" ht="31.5" x14ac:dyDescent="0.25">
      <c r="A35" s="277"/>
      <c r="B35" s="278" t="s">
        <v>576</v>
      </c>
      <c r="C35" s="279">
        <v>600</v>
      </c>
      <c r="D35" s="285"/>
      <c r="E35" s="281">
        <f t="shared" si="0"/>
        <v>600</v>
      </c>
      <c r="F35" s="279"/>
      <c r="G35" s="285">
        <f>1200-600</f>
        <v>600</v>
      </c>
      <c r="H35" s="285"/>
      <c r="I35" s="284"/>
      <c r="J35" s="284" t="s">
        <v>520</v>
      </c>
      <c r="K35" s="284"/>
    </row>
    <row r="36" spans="1:11" s="283" customFormat="1" ht="31.5" customHeight="1" x14ac:dyDescent="0.25">
      <c r="A36" s="277"/>
      <c r="B36" s="491" t="s">
        <v>577</v>
      </c>
      <c r="C36" s="279">
        <v>60</v>
      </c>
      <c r="D36" s="285"/>
      <c r="E36" s="281">
        <f t="shared" si="0"/>
        <v>60</v>
      </c>
      <c r="F36" s="279">
        <v>60</v>
      </c>
      <c r="G36" s="285">
        <v>0</v>
      </c>
      <c r="H36" s="285"/>
      <c r="I36" s="284"/>
      <c r="J36" s="284" t="s">
        <v>520</v>
      </c>
      <c r="K36" s="284"/>
    </row>
    <row r="37" spans="1:11" s="283" customFormat="1" x14ac:dyDescent="0.25">
      <c r="A37" s="277"/>
      <c r="B37" s="278" t="s">
        <v>578</v>
      </c>
      <c r="C37" s="279">
        <v>5000</v>
      </c>
      <c r="D37" s="285"/>
      <c r="E37" s="281">
        <f t="shared" ref="E37" si="2">SUM(C37:D37)</f>
        <v>5000</v>
      </c>
      <c r="F37" s="279"/>
      <c r="G37" s="285">
        <f>5000-2500+2500</f>
        <v>5000</v>
      </c>
      <c r="H37" s="285"/>
      <c r="I37" s="284"/>
      <c r="J37" s="284" t="s">
        <v>520</v>
      </c>
      <c r="K37" s="284"/>
    </row>
    <row r="38" spans="1:11" s="283" customFormat="1" x14ac:dyDescent="0.25">
      <c r="A38" s="277"/>
      <c r="B38" s="278" t="s">
        <v>579</v>
      </c>
      <c r="C38" s="279">
        <v>4771</v>
      </c>
      <c r="D38" s="285"/>
      <c r="E38" s="281">
        <f t="shared" ref="E38:E42" si="3">SUM(C38:D38)</f>
        <v>4771</v>
      </c>
      <c r="F38" s="279"/>
      <c r="G38" s="285">
        <f>7117-2346</f>
        <v>4771</v>
      </c>
      <c r="H38" s="285"/>
      <c r="I38" s="284"/>
      <c r="J38" s="284" t="s">
        <v>520</v>
      </c>
      <c r="K38" s="284"/>
    </row>
    <row r="39" spans="1:11" s="283" customFormat="1" x14ac:dyDescent="0.25">
      <c r="A39" s="277"/>
      <c r="B39" s="278" t="s">
        <v>580</v>
      </c>
      <c r="C39" s="279">
        <v>500</v>
      </c>
      <c r="D39" s="285"/>
      <c r="E39" s="281">
        <f t="shared" si="3"/>
        <v>500</v>
      </c>
      <c r="F39" s="279"/>
      <c r="G39" s="285">
        <f>1500-1000</f>
        <v>500</v>
      </c>
      <c r="H39" s="285"/>
      <c r="I39" s="284"/>
      <c r="J39" s="284" t="s">
        <v>520</v>
      </c>
      <c r="K39" s="284"/>
    </row>
    <row r="40" spans="1:11" s="283" customFormat="1" ht="31.5" x14ac:dyDescent="0.25">
      <c r="A40" s="277"/>
      <c r="B40" s="278" t="s">
        <v>581</v>
      </c>
      <c r="C40" s="279">
        <v>1880</v>
      </c>
      <c r="D40" s="285"/>
      <c r="E40" s="281">
        <f t="shared" si="3"/>
        <v>1880</v>
      </c>
      <c r="F40" s="279"/>
      <c r="G40" s="285">
        <v>1880</v>
      </c>
      <c r="H40" s="285"/>
      <c r="I40" s="284"/>
      <c r="J40" s="284" t="s">
        <v>520</v>
      </c>
      <c r="K40" s="284"/>
    </row>
    <row r="41" spans="1:11" s="283" customFormat="1" ht="31.5" x14ac:dyDescent="0.25">
      <c r="A41" s="277"/>
      <c r="B41" s="278" t="s">
        <v>582</v>
      </c>
      <c r="C41" s="279">
        <v>1000</v>
      </c>
      <c r="D41" s="285"/>
      <c r="E41" s="281">
        <f t="shared" si="3"/>
        <v>1000</v>
      </c>
      <c r="F41" s="279"/>
      <c r="G41" s="285">
        <f>1500-500</f>
        <v>1000</v>
      </c>
      <c r="H41" s="285"/>
      <c r="I41" s="284"/>
      <c r="J41" s="284" t="s">
        <v>520</v>
      </c>
      <c r="K41" s="284"/>
    </row>
    <row r="42" spans="1:11" s="283" customFormat="1" x14ac:dyDescent="0.25">
      <c r="A42" s="277"/>
      <c r="B42" s="278" t="s">
        <v>583</v>
      </c>
      <c r="C42" s="279">
        <v>0</v>
      </c>
      <c r="D42" s="285"/>
      <c r="E42" s="281">
        <f t="shared" si="3"/>
        <v>0</v>
      </c>
      <c r="F42" s="279"/>
      <c r="G42" s="285">
        <f>250-250</f>
        <v>0</v>
      </c>
      <c r="H42" s="285"/>
      <c r="I42" s="284"/>
      <c r="J42" s="284" t="s">
        <v>520</v>
      </c>
      <c r="K42" s="284"/>
    </row>
    <row r="43" spans="1:11" s="283" customFormat="1" x14ac:dyDescent="0.25">
      <c r="A43" s="277"/>
      <c r="B43" s="278" t="s">
        <v>584</v>
      </c>
      <c r="C43" s="279">
        <v>1000</v>
      </c>
      <c r="D43" s="285"/>
      <c r="E43" s="281">
        <f t="shared" si="0"/>
        <v>1000</v>
      </c>
      <c r="F43" s="279"/>
      <c r="G43" s="285">
        <f>3000-2000</f>
        <v>1000</v>
      </c>
      <c r="H43" s="285"/>
      <c r="I43" s="284"/>
      <c r="J43" s="284" t="s">
        <v>520</v>
      </c>
      <c r="K43" s="284"/>
    </row>
    <row r="44" spans="1:11" s="283" customFormat="1" ht="31.5" x14ac:dyDescent="0.25">
      <c r="A44" s="277"/>
      <c r="B44" s="278" t="s">
        <v>585</v>
      </c>
      <c r="C44" s="279">
        <v>1000</v>
      </c>
      <c r="D44" s="285"/>
      <c r="E44" s="281">
        <f t="shared" si="0"/>
        <v>1000</v>
      </c>
      <c r="F44" s="279"/>
      <c r="G44" s="285">
        <f>3000-2000</f>
        <v>1000</v>
      </c>
      <c r="H44" s="285"/>
      <c r="I44" s="284"/>
      <c r="J44" s="284" t="s">
        <v>520</v>
      </c>
      <c r="K44" s="284"/>
    </row>
    <row r="45" spans="1:11" s="283" customFormat="1" x14ac:dyDescent="0.25">
      <c r="A45" s="277"/>
      <c r="B45" s="278" t="s">
        <v>586</v>
      </c>
      <c r="C45" s="279">
        <f>24977+2081</f>
        <v>27058</v>
      </c>
      <c r="D45" s="285"/>
      <c r="E45" s="281">
        <f t="shared" si="0"/>
        <v>27058</v>
      </c>
      <c r="F45" s="279">
        <v>2081</v>
      </c>
      <c r="G45" s="285">
        <v>24977</v>
      </c>
      <c r="H45" s="285"/>
      <c r="I45" s="284"/>
      <c r="J45" s="284" t="s">
        <v>520</v>
      </c>
      <c r="K45" s="284"/>
    </row>
    <row r="46" spans="1:11" s="283" customFormat="1" x14ac:dyDescent="0.25">
      <c r="A46" s="277"/>
      <c r="B46" s="278" t="s">
        <v>587</v>
      </c>
      <c r="C46" s="279">
        <v>500</v>
      </c>
      <c r="D46" s="285"/>
      <c r="E46" s="281">
        <f t="shared" si="0"/>
        <v>500</v>
      </c>
      <c r="F46" s="279"/>
      <c r="G46" s="285">
        <f>2300-1800</f>
        <v>500</v>
      </c>
      <c r="H46" s="285"/>
      <c r="I46" s="284"/>
      <c r="J46" s="284" t="s">
        <v>520</v>
      </c>
      <c r="K46" s="284"/>
    </row>
    <row r="47" spans="1:11" s="283" customFormat="1" x14ac:dyDescent="0.25">
      <c r="A47" s="277"/>
      <c r="B47" s="278" t="s">
        <v>588</v>
      </c>
      <c r="C47" s="279">
        <v>1000</v>
      </c>
      <c r="D47" s="285"/>
      <c r="E47" s="281">
        <f t="shared" si="0"/>
        <v>1000</v>
      </c>
      <c r="F47" s="279"/>
      <c r="G47" s="285">
        <f>2000-1000</f>
        <v>1000</v>
      </c>
      <c r="H47" s="285"/>
      <c r="I47" s="284"/>
      <c r="J47" s="284" t="s">
        <v>520</v>
      </c>
      <c r="K47" s="284"/>
    </row>
    <row r="48" spans="1:11" s="283" customFormat="1" x14ac:dyDescent="0.25">
      <c r="A48" s="277"/>
      <c r="B48" s="278" t="s">
        <v>589</v>
      </c>
      <c r="C48" s="279">
        <v>0</v>
      </c>
      <c r="D48" s="285"/>
      <c r="E48" s="281">
        <f t="shared" si="0"/>
        <v>0</v>
      </c>
      <c r="F48" s="279"/>
      <c r="G48" s="285">
        <f>500-500</f>
        <v>0</v>
      </c>
      <c r="H48" s="285"/>
      <c r="I48" s="284"/>
      <c r="J48" s="284" t="s">
        <v>520</v>
      </c>
      <c r="K48" s="284"/>
    </row>
    <row r="49" spans="1:11" s="283" customFormat="1" ht="31.5" x14ac:dyDescent="0.25">
      <c r="A49" s="277"/>
      <c r="B49" s="278" t="s">
        <v>590</v>
      </c>
      <c r="C49" s="279">
        <v>300</v>
      </c>
      <c r="D49" s="285"/>
      <c r="E49" s="281">
        <f t="shared" si="0"/>
        <v>300</v>
      </c>
      <c r="F49" s="279"/>
      <c r="G49" s="285">
        <v>300</v>
      </c>
      <c r="H49" s="285"/>
      <c r="I49" s="284"/>
      <c r="J49" s="284" t="s">
        <v>520</v>
      </c>
      <c r="K49" s="284"/>
    </row>
    <row r="50" spans="1:11" s="283" customFormat="1" x14ac:dyDescent="0.25">
      <c r="A50" s="277"/>
      <c r="B50" s="278" t="s">
        <v>591</v>
      </c>
      <c r="C50" s="279">
        <v>1000</v>
      </c>
      <c r="D50" s="285"/>
      <c r="E50" s="281">
        <f t="shared" si="0"/>
        <v>1000</v>
      </c>
      <c r="F50" s="279"/>
      <c r="G50" s="285">
        <f>2483-1000-483</f>
        <v>1000</v>
      </c>
      <c r="H50" s="285"/>
      <c r="I50" s="284"/>
      <c r="J50" s="284" t="s">
        <v>520</v>
      </c>
      <c r="K50" s="284"/>
    </row>
    <row r="51" spans="1:11" s="283" customFormat="1" x14ac:dyDescent="0.25">
      <c r="A51" s="277"/>
      <c r="B51" s="278" t="s">
        <v>592</v>
      </c>
      <c r="C51" s="279">
        <v>113000</v>
      </c>
      <c r="D51" s="285"/>
      <c r="E51" s="281">
        <f t="shared" si="0"/>
        <v>113000</v>
      </c>
      <c r="F51" s="279"/>
      <c r="G51" s="285">
        <f>100000-10000+12000+11000</f>
        <v>113000</v>
      </c>
      <c r="H51" s="285"/>
      <c r="I51" s="284"/>
      <c r="J51" s="284" t="s">
        <v>520</v>
      </c>
      <c r="K51" s="284"/>
    </row>
    <row r="52" spans="1:11" s="283" customFormat="1" x14ac:dyDescent="0.25">
      <c r="A52" s="277"/>
      <c r="B52" s="278" t="s">
        <v>593</v>
      </c>
      <c r="C52" s="279">
        <v>0</v>
      </c>
      <c r="D52" s="285"/>
      <c r="E52" s="281">
        <f t="shared" si="0"/>
        <v>0</v>
      </c>
      <c r="F52" s="279"/>
      <c r="G52" s="285">
        <v>0</v>
      </c>
      <c r="H52" s="285"/>
      <c r="I52" s="284"/>
      <c r="J52" s="284" t="s">
        <v>520</v>
      </c>
      <c r="K52" s="284"/>
    </row>
    <row r="53" spans="1:11" s="283" customFormat="1" x14ac:dyDescent="0.25">
      <c r="A53" s="277"/>
      <c r="B53" s="278" t="s">
        <v>594</v>
      </c>
      <c r="C53" s="279">
        <v>1000</v>
      </c>
      <c r="D53" s="285"/>
      <c r="E53" s="281">
        <f t="shared" si="0"/>
        <v>1000</v>
      </c>
      <c r="F53" s="279"/>
      <c r="G53" s="285">
        <v>1000</v>
      </c>
      <c r="H53" s="285"/>
      <c r="I53" s="284"/>
      <c r="J53" s="284" t="s">
        <v>520</v>
      </c>
      <c r="K53" s="284"/>
    </row>
    <row r="54" spans="1:11" s="283" customFormat="1" ht="31.5" x14ac:dyDescent="0.25">
      <c r="A54" s="277"/>
      <c r="B54" s="278" t="s">
        <v>595</v>
      </c>
      <c r="C54" s="279">
        <v>1000</v>
      </c>
      <c r="D54" s="285"/>
      <c r="E54" s="281">
        <f t="shared" si="0"/>
        <v>1000</v>
      </c>
      <c r="F54" s="279"/>
      <c r="G54" s="285">
        <v>1000</v>
      </c>
      <c r="H54" s="285"/>
      <c r="I54" s="284"/>
      <c r="J54" s="284" t="s">
        <v>520</v>
      </c>
      <c r="K54" s="284"/>
    </row>
    <row r="55" spans="1:11" s="283" customFormat="1" ht="31.5" x14ac:dyDescent="0.25">
      <c r="A55" s="277"/>
      <c r="B55" s="278" t="s">
        <v>673</v>
      </c>
      <c r="C55" s="279">
        <v>1000</v>
      </c>
      <c r="D55" s="285"/>
      <c r="E55" s="281">
        <f t="shared" si="0"/>
        <v>1000</v>
      </c>
      <c r="F55" s="279"/>
      <c r="G55" s="285">
        <v>1000</v>
      </c>
      <c r="H55" s="285"/>
      <c r="I55" s="284"/>
      <c r="J55" s="284" t="s">
        <v>520</v>
      </c>
      <c r="K55" s="284"/>
    </row>
    <row r="56" spans="1:11" s="283" customFormat="1" x14ac:dyDescent="0.25">
      <c r="A56" s="277"/>
      <c r="B56" s="278" t="s">
        <v>596</v>
      </c>
      <c r="C56" s="279">
        <v>4000</v>
      </c>
      <c r="D56" s="285"/>
      <c r="E56" s="281">
        <f t="shared" si="0"/>
        <v>4000</v>
      </c>
      <c r="F56" s="279"/>
      <c r="G56" s="285">
        <f>2000+2000</f>
        <v>4000</v>
      </c>
      <c r="H56" s="285"/>
      <c r="I56" s="284"/>
      <c r="J56" s="284" t="s">
        <v>520</v>
      </c>
      <c r="K56" s="284"/>
    </row>
    <row r="57" spans="1:11" s="283" customFormat="1" x14ac:dyDescent="0.25">
      <c r="A57" s="277"/>
      <c r="B57" s="278" t="s">
        <v>674</v>
      </c>
      <c r="C57" s="279">
        <v>3000</v>
      </c>
      <c r="D57" s="285"/>
      <c r="E57" s="281">
        <f t="shared" si="0"/>
        <v>3000</v>
      </c>
      <c r="F57" s="279"/>
      <c r="G57" s="285">
        <f>12500-4500-5000</f>
        <v>3000</v>
      </c>
      <c r="H57" s="285"/>
      <c r="I57" s="284"/>
      <c r="J57" s="284" t="s">
        <v>520</v>
      </c>
      <c r="K57" s="284"/>
    </row>
    <row r="58" spans="1:11" s="283" customFormat="1" x14ac:dyDescent="0.25">
      <c r="A58" s="277"/>
      <c r="B58" s="278" t="s">
        <v>675</v>
      </c>
      <c r="C58" s="279">
        <v>2000</v>
      </c>
      <c r="D58" s="285"/>
      <c r="E58" s="281">
        <f t="shared" si="0"/>
        <v>2000</v>
      </c>
      <c r="F58" s="279"/>
      <c r="G58" s="285">
        <f>1000+1000</f>
        <v>2000</v>
      </c>
      <c r="H58" s="285"/>
      <c r="I58" s="284"/>
      <c r="J58" s="284" t="s">
        <v>520</v>
      </c>
      <c r="K58" s="284"/>
    </row>
    <row r="59" spans="1:11" s="283" customFormat="1" ht="31.5" x14ac:dyDescent="0.25">
      <c r="A59" s="277"/>
      <c r="B59" s="278" t="s">
        <v>676</v>
      </c>
      <c r="C59" s="279">
        <v>3602</v>
      </c>
      <c r="D59" s="285"/>
      <c r="E59" s="281">
        <f t="shared" si="0"/>
        <v>3602</v>
      </c>
      <c r="F59" s="279"/>
      <c r="G59" s="285">
        <f>3369+233</f>
        <v>3602</v>
      </c>
      <c r="H59" s="285"/>
      <c r="I59" s="284"/>
      <c r="J59" s="284" t="s">
        <v>520</v>
      </c>
      <c r="K59" s="284"/>
    </row>
    <row r="60" spans="1:11" s="283" customFormat="1" ht="31.5" x14ac:dyDescent="0.25">
      <c r="A60" s="277"/>
      <c r="B60" s="278" t="s">
        <v>677</v>
      </c>
      <c r="C60" s="279">
        <v>0</v>
      </c>
      <c r="D60" s="285"/>
      <c r="E60" s="281">
        <f t="shared" ref="E60" si="4">SUM(C60:D60)</f>
        <v>0</v>
      </c>
      <c r="F60" s="279"/>
      <c r="G60" s="285">
        <f>5000-5000</f>
        <v>0</v>
      </c>
      <c r="H60" s="285"/>
      <c r="I60" s="284"/>
      <c r="J60" s="284" t="s">
        <v>520</v>
      </c>
      <c r="K60" s="284"/>
    </row>
    <row r="61" spans="1:11" s="283" customFormat="1" x14ac:dyDescent="0.25">
      <c r="A61" s="277"/>
      <c r="B61" s="278" t="s">
        <v>953</v>
      </c>
      <c r="C61" s="279">
        <v>10000</v>
      </c>
      <c r="D61" s="285"/>
      <c r="E61" s="281">
        <f t="shared" ref="E61" si="5">SUM(C61:D61)</f>
        <v>10000</v>
      </c>
      <c r="F61" s="279"/>
      <c r="G61" s="285">
        <v>10000</v>
      </c>
      <c r="H61" s="285"/>
      <c r="I61" s="284"/>
      <c r="J61" s="284" t="s">
        <v>520</v>
      </c>
      <c r="K61" s="284"/>
    </row>
    <row r="62" spans="1:11" s="283" customFormat="1" x14ac:dyDescent="0.25">
      <c r="A62" s="277"/>
      <c r="B62" s="278" t="s">
        <v>946</v>
      </c>
      <c r="C62" s="279">
        <v>80470</v>
      </c>
      <c r="D62" s="285"/>
      <c r="E62" s="281">
        <f t="shared" si="0"/>
        <v>80470</v>
      </c>
      <c r="F62" s="279"/>
      <c r="G62" s="285">
        <f>110470-30000</f>
        <v>80470</v>
      </c>
      <c r="H62" s="285"/>
      <c r="I62" s="284"/>
      <c r="J62" s="284" t="s">
        <v>520</v>
      </c>
      <c r="K62" s="284"/>
    </row>
    <row r="63" spans="1:11" s="283" customFormat="1" ht="31.5" x14ac:dyDescent="0.25">
      <c r="A63" s="277"/>
      <c r="B63" s="278" t="s">
        <v>929</v>
      </c>
      <c r="C63" s="279">
        <v>18681</v>
      </c>
      <c r="D63" s="285"/>
      <c r="E63" s="281">
        <f t="shared" si="0"/>
        <v>18681</v>
      </c>
      <c r="F63" s="279"/>
      <c r="G63" s="285">
        <f>7289+7439+3953</f>
        <v>18681</v>
      </c>
      <c r="H63" s="285"/>
      <c r="I63" s="284"/>
      <c r="J63" s="284" t="s">
        <v>520</v>
      </c>
      <c r="K63" s="284"/>
    </row>
    <row r="64" spans="1:11" x14ac:dyDescent="0.25">
      <c r="A64" s="272"/>
      <c r="B64" s="426" t="s">
        <v>103</v>
      </c>
      <c r="C64" s="427">
        <v>11662</v>
      </c>
      <c r="D64" s="427">
        <f>D65+D66+D67+D68</f>
        <v>0</v>
      </c>
      <c r="E64" s="427">
        <f t="shared" si="0"/>
        <v>11662</v>
      </c>
      <c r="F64" s="427">
        <f>SUM(F65:F68)</f>
        <v>0</v>
      </c>
      <c r="G64" s="427">
        <f>SUM(G65:G68)</f>
        <v>11662</v>
      </c>
      <c r="H64" s="427">
        <f t="shared" ref="H64" si="6">SUM(H65:H67)</f>
        <v>0</v>
      </c>
      <c r="I64" s="381"/>
      <c r="J64" s="381" t="s">
        <v>520</v>
      </c>
      <c r="K64" s="381"/>
    </row>
    <row r="65" spans="1:11" x14ac:dyDescent="0.25">
      <c r="A65" s="272"/>
      <c r="B65" s="286" t="s">
        <v>114</v>
      </c>
      <c r="C65" s="287">
        <v>8053</v>
      </c>
      <c r="D65" s="287"/>
      <c r="E65" s="287">
        <f t="shared" si="0"/>
        <v>8053</v>
      </c>
      <c r="F65" s="287"/>
      <c r="G65" s="287">
        <f>18053-5000-5000</f>
        <v>8053</v>
      </c>
      <c r="H65" s="287"/>
      <c r="I65" s="288"/>
      <c r="J65" s="288" t="s">
        <v>520</v>
      </c>
      <c r="K65" s="288"/>
    </row>
    <row r="66" spans="1:11" x14ac:dyDescent="0.25">
      <c r="A66" s="272"/>
      <c r="B66" s="286" t="s">
        <v>115</v>
      </c>
      <c r="C66" s="287">
        <v>1109</v>
      </c>
      <c r="D66" s="287"/>
      <c r="E66" s="287">
        <f t="shared" si="0"/>
        <v>1109</v>
      </c>
      <c r="F66" s="287"/>
      <c r="G66" s="287">
        <v>1109</v>
      </c>
      <c r="H66" s="287"/>
      <c r="I66" s="288"/>
      <c r="J66" s="288" t="s">
        <v>520</v>
      </c>
      <c r="K66" s="288"/>
    </row>
    <row r="67" spans="1:11" x14ac:dyDescent="0.25">
      <c r="A67" s="272"/>
      <c r="B67" s="286" t="s">
        <v>116</v>
      </c>
      <c r="C67" s="287">
        <v>2500</v>
      </c>
      <c r="D67" s="287"/>
      <c r="E67" s="287">
        <f t="shared" si="0"/>
        <v>2500</v>
      </c>
      <c r="F67" s="287"/>
      <c r="G67" s="287">
        <v>2500</v>
      </c>
      <c r="H67" s="287"/>
      <c r="I67" s="288"/>
      <c r="J67" s="288" t="s">
        <v>520</v>
      </c>
      <c r="K67" s="288"/>
    </row>
    <row r="68" spans="1:11" x14ac:dyDescent="0.25">
      <c r="A68" s="272"/>
      <c r="B68" s="286" t="s">
        <v>678</v>
      </c>
      <c r="C68" s="287">
        <v>0</v>
      </c>
      <c r="D68" s="287"/>
      <c r="E68" s="287">
        <f t="shared" si="0"/>
        <v>0</v>
      </c>
      <c r="F68" s="287"/>
      <c r="G68" s="287">
        <f>-1000+1000</f>
        <v>0</v>
      </c>
      <c r="H68" s="287"/>
      <c r="I68" s="288"/>
      <c r="J68" s="288" t="s">
        <v>520</v>
      </c>
      <c r="K68" s="288"/>
    </row>
    <row r="69" spans="1:11" x14ac:dyDescent="0.25">
      <c r="A69" s="272"/>
      <c r="B69" s="426" t="s">
        <v>126</v>
      </c>
      <c r="C69" s="427">
        <v>12023</v>
      </c>
      <c r="D69" s="427"/>
      <c r="E69" s="427">
        <f t="shared" si="0"/>
        <v>12023</v>
      </c>
      <c r="F69" s="427">
        <v>0</v>
      </c>
      <c r="G69" s="427">
        <f>7488+53+482+4000</f>
        <v>12023</v>
      </c>
      <c r="H69" s="427"/>
      <c r="I69" s="381" t="s">
        <v>520</v>
      </c>
      <c r="J69" s="381" t="s">
        <v>520</v>
      </c>
      <c r="K69" s="381"/>
    </row>
    <row r="70" spans="1:11" x14ac:dyDescent="0.25">
      <c r="A70" s="272"/>
      <c r="B70" s="276" t="s">
        <v>81</v>
      </c>
      <c r="C70" s="274">
        <v>316473</v>
      </c>
      <c r="D70" s="274">
        <v>0</v>
      </c>
      <c r="E70" s="274">
        <f t="shared" si="0"/>
        <v>316473</v>
      </c>
      <c r="F70" s="274">
        <v>190</v>
      </c>
      <c r="G70" s="274">
        <f>328241+2450-14062-346</f>
        <v>316283</v>
      </c>
      <c r="H70" s="274"/>
      <c r="I70" s="275" t="s">
        <v>520</v>
      </c>
      <c r="J70" s="275" t="s">
        <v>520</v>
      </c>
      <c r="K70" s="275"/>
    </row>
    <row r="71" spans="1:11" x14ac:dyDescent="0.25">
      <c r="A71" s="272"/>
      <c r="B71" s="276" t="s">
        <v>82</v>
      </c>
      <c r="C71" s="274">
        <v>341254</v>
      </c>
      <c r="D71" s="274">
        <v>0</v>
      </c>
      <c r="E71" s="274">
        <f t="shared" si="0"/>
        <v>341254</v>
      </c>
      <c r="F71" s="274">
        <v>0</v>
      </c>
      <c r="G71" s="274">
        <f>370565+100000-29311-100000</f>
        <v>341254</v>
      </c>
      <c r="H71" s="274"/>
      <c r="I71" s="275" t="s">
        <v>520</v>
      </c>
      <c r="J71" s="275"/>
      <c r="K71" s="275"/>
    </row>
    <row r="72" spans="1:11" x14ac:dyDescent="0.25">
      <c r="A72" s="272"/>
      <c r="B72" s="286" t="s">
        <v>104</v>
      </c>
      <c r="C72" s="287">
        <v>254732</v>
      </c>
      <c r="D72" s="287"/>
      <c r="E72" s="287">
        <f t="shared" si="0"/>
        <v>254732</v>
      </c>
      <c r="F72" s="287"/>
      <c r="G72" s="423">
        <f>254732+100000-100000</f>
        <v>254732</v>
      </c>
      <c r="H72" s="287"/>
      <c r="I72" s="288" t="s">
        <v>520</v>
      </c>
      <c r="J72" s="288"/>
      <c r="K72" s="288"/>
    </row>
    <row r="73" spans="1:11" x14ac:dyDescent="0.25">
      <c r="A73" s="272"/>
      <c r="B73" s="289" t="s">
        <v>597</v>
      </c>
      <c r="C73" s="287">
        <v>86410</v>
      </c>
      <c r="D73" s="287"/>
      <c r="E73" s="287">
        <f t="shared" si="0"/>
        <v>86410</v>
      </c>
      <c r="F73" s="287"/>
      <c r="G73" s="287">
        <f>115721-29311</f>
        <v>86410</v>
      </c>
      <c r="H73" s="287"/>
      <c r="I73" s="288" t="s">
        <v>520</v>
      </c>
      <c r="J73" s="288"/>
      <c r="K73" s="288"/>
    </row>
    <row r="74" spans="1:11" x14ac:dyDescent="0.25">
      <c r="A74" s="272"/>
      <c r="B74" s="276" t="s">
        <v>105</v>
      </c>
      <c r="C74" s="274">
        <f>C75+C76+C77+C78+C79</f>
        <v>16845</v>
      </c>
      <c r="D74" s="274">
        <f>D75+D76+D77+D78+D79</f>
        <v>0</v>
      </c>
      <c r="E74" s="274">
        <f t="shared" si="0"/>
        <v>16845</v>
      </c>
      <c r="F74" s="274">
        <f>F75+F76+F77+F78+F79</f>
        <v>0</v>
      </c>
      <c r="G74" s="274">
        <f>G75+G76+G77+G78+G79</f>
        <v>16845</v>
      </c>
      <c r="H74" s="274"/>
      <c r="I74" s="275"/>
      <c r="J74" s="275" t="s">
        <v>520</v>
      </c>
      <c r="K74" s="275"/>
    </row>
    <row r="75" spans="1:11" x14ac:dyDescent="0.25">
      <c r="A75" s="272"/>
      <c r="B75" s="286" t="s">
        <v>458</v>
      </c>
      <c r="C75" s="287">
        <v>0</v>
      </c>
      <c r="D75" s="287"/>
      <c r="E75" s="287">
        <f t="shared" si="0"/>
        <v>0</v>
      </c>
      <c r="F75" s="287"/>
      <c r="G75" s="287">
        <f>10000-10000</f>
        <v>0</v>
      </c>
      <c r="H75" s="287"/>
      <c r="I75" s="288"/>
      <c r="J75" s="288" t="s">
        <v>520</v>
      </c>
      <c r="K75" s="288"/>
    </row>
    <row r="76" spans="1:11" ht="31.5" x14ac:dyDescent="0.25">
      <c r="A76" s="272"/>
      <c r="B76" s="286" t="s">
        <v>522</v>
      </c>
      <c r="C76" s="287">
        <v>0</v>
      </c>
      <c r="D76" s="287"/>
      <c r="E76" s="287">
        <f t="shared" si="0"/>
        <v>0</v>
      </c>
      <c r="F76" s="287"/>
      <c r="G76" s="287">
        <f>20000-20000</f>
        <v>0</v>
      </c>
      <c r="H76" s="287"/>
      <c r="I76" s="288"/>
      <c r="J76" s="288" t="s">
        <v>520</v>
      </c>
      <c r="K76" s="288"/>
    </row>
    <row r="77" spans="1:11" ht="31.5" x14ac:dyDescent="0.25">
      <c r="A77" s="272"/>
      <c r="B77" s="286" t="s">
        <v>770</v>
      </c>
      <c r="C77" s="287">
        <v>2500</v>
      </c>
      <c r="D77" s="287"/>
      <c r="E77" s="287">
        <f t="shared" si="0"/>
        <v>2500</v>
      </c>
      <c r="F77" s="287"/>
      <c r="G77" s="287">
        <v>2500</v>
      </c>
      <c r="H77" s="287"/>
      <c r="I77" s="288"/>
      <c r="J77" s="288" t="s">
        <v>520</v>
      </c>
      <c r="K77" s="288"/>
    </row>
    <row r="78" spans="1:11" ht="31.5" x14ac:dyDescent="0.25">
      <c r="A78" s="272"/>
      <c r="B78" s="286" t="s">
        <v>459</v>
      </c>
      <c r="C78" s="287">
        <v>14345</v>
      </c>
      <c r="D78" s="287"/>
      <c r="E78" s="287">
        <f t="shared" si="0"/>
        <v>14345</v>
      </c>
      <c r="F78" s="287"/>
      <c r="G78" s="287">
        <f>38000-23655</f>
        <v>14345</v>
      </c>
      <c r="H78" s="287"/>
      <c r="I78" s="288"/>
      <c r="J78" s="288" t="s">
        <v>520</v>
      </c>
      <c r="K78" s="288"/>
    </row>
    <row r="79" spans="1:11" x14ac:dyDescent="0.25">
      <c r="A79" s="272"/>
      <c r="B79" s="286" t="s">
        <v>233</v>
      </c>
      <c r="C79" s="287">
        <v>0</v>
      </c>
      <c r="D79" s="287"/>
      <c r="E79" s="287">
        <f t="shared" si="0"/>
        <v>0</v>
      </c>
      <c r="F79" s="287"/>
      <c r="G79" s="287">
        <f>15000-15000</f>
        <v>0</v>
      </c>
      <c r="H79" s="287"/>
      <c r="I79" s="288"/>
      <c r="J79" s="288" t="s">
        <v>520</v>
      </c>
      <c r="K79" s="288"/>
    </row>
    <row r="80" spans="1:11" x14ac:dyDescent="0.25">
      <c r="A80" s="272" t="s">
        <v>106</v>
      </c>
      <c r="B80" s="273" t="s">
        <v>107</v>
      </c>
      <c r="C80" s="290">
        <f t="shared" ref="C80:H80" si="7">SUM(C81:C82)+C84</f>
        <v>937737</v>
      </c>
      <c r="D80" s="290">
        <f t="shared" si="7"/>
        <v>0</v>
      </c>
      <c r="E80" s="290">
        <f t="shared" si="7"/>
        <v>937737</v>
      </c>
      <c r="F80" s="290">
        <f t="shared" si="7"/>
        <v>86</v>
      </c>
      <c r="G80" s="290">
        <f t="shared" si="7"/>
        <v>1368082</v>
      </c>
      <c r="H80" s="290">
        <f t="shared" si="7"/>
        <v>-430431</v>
      </c>
      <c r="I80" s="291" t="s">
        <v>520</v>
      </c>
      <c r="J80" s="291"/>
      <c r="K80" s="291"/>
    </row>
    <row r="81" spans="1:11" x14ac:dyDescent="0.25">
      <c r="A81" s="272"/>
      <c r="B81" s="426" t="s">
        <v>234</v>
      </c>
      <c r="C81" s="427">
        <v>15000</v>
      </c>
      <c r="D81" s="427"/>
      <c r="E81" s="427">
        <f t="shared" si="0"/>
        <v>15000</v>
      </c>
      <c r="F81" s="427"/>
      <c r="G81" s="427">
        <v>15000</v>
      </c>
      <c r="H81" s="427"/>
      <c r="I81" s="381" t="s">
        <v>520</v>
      </c>
      <c r="J81" s="381"/>
      <c r="K81" s="381"/>
    </row>
    <row r="82" spans="1:11" x14ac:dyDescent="0.25">
      <c r="A82" s="272"/>
      <c r="B82" s="426" t="s">
        <v>83</v>
      </c>
      <c r="C82" s="427">
        <v>205086</v>
      </c>
      <c r="D82" s="427"/>
      <c r="E82" s="427">
        <f t="shared" si="0"/>
        <v>205086</v>
      </c>
      <c r="F82" s="427">
        <v>86</v>
      </c>
      <c r="G82" s="427">
        <f>185000+20000</f>
        <v>205000</v>
      </c>
      <c r="H82" s="427"/>
      <c r="I82" s="381" t="s">
        <v>520</v>
      </c>
      <c r="J82" s="381"/>
      <c r="K82" s="381"/>
    </row>
    <row r="83" spans="1:11" x14ac:dyDescent="0.25">
      <c r="A83" s="272"/>
      <c r="B83" s="286" t="s">
        <v>679</v>
      </c>
      <c r="C83" s="292">
        <v>200000</v>
      </c>
      <c r="D83" s="292"/>
      <c r="E83" s="292">
        <f t="shared" ref="E83" si="8">SUM(C83:D83)</f>
        <v>200000</v>
      </c>
      <c r="F83" s="292"/>
      <c r="G83" s="292">
        <f>180000+20000</f>
        <v>200000</v>
      </c>
      <c r="H83" s="292"/>
      <c r="I83" s="293" t="s">
        <v>520</v>
      </c>
      <c r="J83" s="293"/>
      <c r="K83" s="293"/>
    </row>
    <row r="84" spans="1:11" x14ac:dyDescent="0.25">
      <c r="A84" s="272"/>
      <c r="B84" s="294" t="s">
        <v>933</v>
      </c>
      <c r="C84" s="427">
        <v>717651</v>
      </c>
      <c r="D84" s="427"/>
      <c r="E84" s="427">
        <f t="shared" si="0"/>
        <v>717651</v>
      </c>
      <c r="F84" s="427"/>
      <c r="G84" s="292">
        <f>61100+1332200-100000-200000+22109+12013+2349+634+7664-844+1114+6210+2601+697+235</f>
        <v>1148082</v>
      </c>
      <c r="H84" s="427">
        <f>-55392-28624-21704-1000-200000-100000-20000-50000-10000-8085+10000-22709+75752+1331</f>
        <v>-430431</v>
      </c>
      <c r="I84" s="381" t="s">
        <v>520</v>
      </c>
      <c r="J84" s="381"/>
      <c r="K84" s="381"/>
    </row>
    <row r="85" spans="1:11" x14ac:dyDescent="0.25">
      <c r="A85" s="272" t="s">
        <v>108</v>
      </c>
      <c r="B85" s="276" t="s">
        <v>317</v>
      </c>
      <c r="C85" s="290">
        <f t="shared" ref="C85:D85" si="9">SUM(C86:C89)</f>
        <v>30737706</v>
      </c>
      <c r="D85" s="290">
        <f t="shared" si="9"/>
        <v>-8</v>
      </c>
      <c r="E85" s="290">
        <f t="shared" si="0"/>
        <v>30737698</v>
      </c>
      <c r="F85" s="290">
        <f>SUM(F86:F89)</f>
        <v>247705</v>
      </c>
      <c r="G85" s="290">
        <f t="shared" ref="G85:H85" si="10">SUM(G86:G89)</f>
        <v>30489993</v>
      </c>
      <c r="H85" s="290">
        <f t="shared" si="10"/>
        <v>0</v>
      </c>
      <c r="I85" s="291" t="s">
        <v>520</v>
      </c>
      <c r="J85" s="291" t="s">
        <v>520</v>
      </c>
      <c r="K85" s="291"/>
    </row>
    <row r="86" spans="1:11" ht="33" customHeight="1" x14ac:dyDescent="0.25">
      <c r="A86" s="272"/>
      <c r="B86" s="824" t="s">
        <v>680</v>
      </c>
      <c r="C86" s="427">
        <v>1350285</v>
      </c>
      <c r="D86" s="427">
        <v>91</v>
      </c>
      <c r="E86" s="427">
        <f t="shared" si="0"/>
        <v>1350376</v>
      </c>
      <c r="F86" s="427">
        <v>75420</v>
      </c>
      <c r="G86" s="427">
        <f>2112637-470629-86334+70000+635+29050+16263+7500+7500-7294-343141-61322+91</f>
        <v>1274956</v>
      </c>
      <c r="H86" s="427"/>
      <c r="I86" s="381" t="s">
        <v>520</v>
      </c>
      <c r="J86" s="381"/>
      <c r="K86" s="381"/>
    </row>
    <row r="87" spans="1:11" x14ac:dyDescent="0.25">
      <c r="A87" s="272"/>
      <c r="B87" s="294" t="s">
        <v>84</v>
      </c>
      <c r="C87" s="427">
        <v>28529905</v>
      </c>
      <c r="D87" s="427">
        <f>-374+100</f>
        <v>-274</v>
      </c>
      <c r="E87" s="427">
        <f t="shared" si="0"/>
        <v>28529631</v>
      </c>
      <c r="F87" s="427">
        <v>154059</v>
      </c>
      <c r="G87" s="427">
        <f>29117311-708431+6375-399837+4+784+18000-605287+270583-4420+225739-64873+13500+21667+116134+5000+3240+143082+19685+89801+36697+56000+140000+5825-1585413-8279-2883-7685-1316538-195633-62420+875000+18360+4758+1500000+650000-374+100</f>
        <v>28375572</v>
      </c>
      <c r="H87" s="427"/>
      <c r="I87" s="381" t="s">
        <v>520</v>
      </c>
      <c r="J87" s="381" t="s">
        <v>520</v>
      </c>
      <c r="K87" s="381"/>
    </row>
    <row r="88" spans="1:11" x14ac:dyDescent="0.25">
      <c r="A88" s="272"/>
      <c r="B88" s="824" t="s">
        <v>460</v>
      </c>
      <c r="C88" s="427">
        <v>841687</v>
      </c>
      <c r="D88" s="427">
        <f>14+161</f>
        <v>175</v>
      </c>
      <c r="E88" s="427">
        <f t="shared" si="0"/>
        <v>841862</v>
      </c>
      <c r="F88" s="427">
        <v>18226</v>
      </c>
      <c r="G88" s="427">
        <f>1282395-95000-25650-99851-241300+51+816+2000+14+161</f>
        <v>823636</v>
      </c>
      <c r="H88" s="427"/>
      <c r="I88" s="381" t="s">
        <v>520</v>
      </c>
      <c r="J88" s="381"/>
      <c r="K88" s="381"/>
    </row>
    <row r="89" spans="1:11" x14ac:dyDescent="0.25">
      <c r="A89" s="272"/>
      <c r="B89" s="294" t="s">
        <v>110</v>
      </c>
      <c r="C89" s="427">
        <v>15829</v>
      </c>
      <c r="D89" s="427"/>
      <c r="E89" s="427">
        <f t="shared" si="0"/>
        <v>15829</v>
      </c>
      <c r="F89" s="427">
        <v>0</v>
      </c>
      <c r="G89" s="427">
        <v>15829</v>
      </c>
      <c r="H89" s="427"/>
      <c r="I89" s="381" t="s">
        <v>520</v>
      </c>
      <c r="J89" s="381"/>
      <c r="K89" s="381"/>
    </row>
    <row r="90" spans="1:11" x14ac:dyDescent="0.25">
      <c r="A90" s="272" t="s">
        <v>85</v>
      </c>
      <c r="B90" s="276" t="s">
        <v>64</v>
      </c>
      <c r="C90" s="274">
        <f>SUM(C95,C91)</f>
        <v>3747295</v>
      </c>
      <c r="D90" s="274">
        <f>SUM(D95,D91)</f>
        <v>308</v>
      </c>
      <c r="E90" s="274">
        <f t="shared" si="0"/>
        <v>3747603</v>
      </c>
      <c r="F90" s="274">
        <f>SUM(F95,F91)</f>
        <v>26277</v>
      </c>
      <c r="G90" s="274">
        <f>SUM(G95,G91)</f>
        <v>3721326</v>
      </c>
      <c r="H90" s="274">
        <f>SUM(H95,H91)</f>
        <v>0</v>
      </c>
      <c r="I90" s="275" t="s">
        <v>520</v>
      </c>
      <c r="J90" s="275" t="s">
        <v>520</v>
      </c>
      <c r="K90" s="275"/>
    </row>
    <row r="91" spans="1:11" x14ac:dyDescent="0.25">
      <c r="A91" s="272"/>
      <c r="B91" s="294" t="s">
        <v>86</v>
      </c>
      <c r="C91" s="427">
        <v>3737295</v>
      </c>
      <c r="D91" s="427">
        <v>308</v>
      </c>
      <c r="E91" s="427">
        <f t="shared" si="0"/>
        <v>3737603</v>
      </c>
      <c r="F91" s="427">
        <v>26277</v>
      </c>
      <c r="G91" s="427">
        <f>2112516+200000+50+2749-200000+224+12+11-47396+3000+80-4000-55000+613+5+2087+6750-8902+317000+63000+312000+270000+72900+35834-3444+15870+615059+308</f>
        <v>3711326</v>
      </c>
      <c r="H91" s="427"/>
      <c r="I91" s="381" t="s">
        <v>520</v>
      </c>
      <c r="J91" s="381" t="s">
        <v>520</v>
      </c>
      <c r="K91" s="381"/>
    </row>
    <row r="92" spans="1:11" x14ac:dyDescent="0.25">
      <c r="A92" s="272"/>
      <c r="B92" s="289" t="s">
        <v>598</v>
      </c>
      <c r="C92" s="287">
        <v>20000</v>
      </c>
      <c r="D92" s="287"/>
      <c r="E92" s="287">
        <f t="shared" si="0"/>
        <v>20000</v>
      </c>
      <c r="F92" s="287"/>
      <c r="G92" s="287">
        <v>20000</v>
      </c>
      <c r="H92" s="287"/>
      <c r="I92" s="288"/>
      <c r="J92" s="288" t="s">
        <v>520</v>
      </c>
      <c r="K92" s="288"/>
    </row>
    <row r="93" spans="1:11" x14ac:dyDescent="0.25">
      <c r="A93" s="272"/>
      <c r="B93" s="289" t="s">
        <v>1039</v>
      </c>
      <c r="C93" s="287">
        <v>362051</v>
      </c>
      <c r="D93" s="287"/>
      <c r="E93" s="287">
        <f t="shared" ref="E93" si="11">SUM(C93:D93)</f>
        <v>362051</v>
      </c>
      <c r="F93" s="287"/>
      <c r="G93" s="287">
        <v>362051</v>
      </c>
      <c r="H93" s="287"/>
      <c r="I93" s="288"/>
      <c r="J93" s="288" t="s">
        <v>520</v>
      </c>
      <c r="K93" s="288"/>
    </row>
    <row r="94" spans="1:11" ht="31.5" x14ac:dyDescent="0.25">
      <c r="A94" s="272"/>
      <c r="B94" s="289" t="s">
        <v>1038</v>
      </c>
      <c r="C94" s="287">
        <v>764862</v>
      </c>
      <c r="D94" s="287"/>
      <c r="E94" s="287">
        <f t="shared" si="0"/>
        <v>764862</v>
      </c>
      <c r="F94" s="287"/>
      <c r="G94" s="287">
        <f>460062+2152-38100+6750-8902+342900</f>
        <v>764862</v>
      </c>
      <c r="H94" s="287"/>
      <c r="I94" s="288" t="s">
        <v>520</v>
      </c>
      <c r="J94" s="288"/>
      <c r="K94" s="288"/>
    </row>
    <row r="95" spans="1:11" x14ac:dyDescent="0.25">
      <c r="A95" s="272"/>
      <c r="B95" s="294" t="s">
        <v>250</v>
      </c>
      <c r="C95" s="427">
        <v>10000</v>
      </c>
      <c r="D95" s="427"/>
      <c r="E95" s="427">
        <f t="shared" si="0"/>
        <v>10000</v>
      </c>
      <c r="F95" s="427"/>
      <c r="G95" s="427">
        <v>10000</v>
      </c>
      <c r="H95" s="427"/>
      <c r="I95" s="381"/>
      <c r="J95" s="381" t="s">
        <v>520</v>
      </c>
      <c r="K95" s="381"/>
    </row>
    <row r="96" spans="1:11" x14ac:dyDescent="0.25">
      <c r="A96" s="272" t="s">
        <v>87</v>
      </c>
      <c r="B96" s="276" t="s">
        <v>65</v>
      </c>
      <c r="C96" s="290">
        <f>SUM(C105,C103,C99,C97:C98)</f>
        <v>6251957</v>
      </c>
      <c r="D96" s="290">
        <f>SUM(D105,D103,D99,D97:D98)</f>
        <v>93</v>
      </c>
      <c r="E96" s="290">
        <f t="shared" si="0"/>
        <v>6252050</v>
      </c>
      <c r="F96" s="290">
        <f>SUM(F105,F103,F99,F97:F98)</f>
        <v>202949</v>
      </c>
      <c r="G96" s="290">
        <f>SUM(G105,G103,G99,G97:G98)</f>
        <v>6049101</v>
      </c>
      <c r="H96" s="290">
        <f>SUM(H105,H103,H99,H97:H98)</f>
        <v>0</v>
      </c>
      <c r="I96" s="291" t="s">
        <v>520</v>
      </c>
      <c r="J96" s="291" t="s">
        <v>520</v>
      </c>
      <c r="K96" s="291"/>
    </row>
    <row r="97" spans="1:12" x14ac:dyDescent="0.25">
      <c r="A97" s="272"/>
      <c r="B97" s="294" t="s">
        <v>88</v>
      </c>
      <c r="C97" s="427">
        <v>4824961</v>
      </c>
      <c r="D97" s="427"/>
      <c r="E97" s="427">
        <f t="shared" si="0"/>
        <v>4824961</v>
      </c>
      <c r="F97" s="427">
        <v>201586</v>
      </c>
      <c r="G97" s="427">
        <f>5218845+1500000-525000-1500000+10000+30000-110470</f>
        <v>4623375</v>
      </c>
      <c r="H97" s="427"/>
      <c r="I97" s="381" t="s">
        <v>520</v>
      </c>
      <c r="J97" s="381"/>
      <c r="K97" s="381"/>
      <c r="L97" s="428"/>
    </row>
    <row r="98" spans="1:12" x14ac:dyDescent="0.25">
      <c r="A98" s="272"/>
      <c r="B98" s="426" t="s">
        <v>89</v>
      </c>
      <c r="C98" s="427">
        <v>14203</v>
      </c>
      <c r="D98" s="427"/>
      <c r="E98" s="427">
        <f t="shared" si="0"/>
        <v>14203</v>
      </c>
      <c r="F98" s="427"/>
      <c r="G98" s="427">
        <f>28203-10000-4000</f>
        <v>14203</v>
      </c>
      <c r="H98" s="427"/>
      <c r="I98" s="381" t="s">
        <v>520</v>
      </c>
      <c r="J98" s="381" t="s">
        <v>520</v>
      </c>
      <c r="K98" s="381"/>
    </row>
    <row r="99" spans="1:12" x14ac:dyDescent="0.25">
      <c r="A99" s="272"/>
      <c r="B99" s="294" t="s">
        <v>274</v>
      </c>
      <c r="C99" s="427">
        <v>1354494</v>
      </c>
      <c r="D99" s="427">
        <v>93</v>
      </c>
      <c r="E99" s="427">
        <f t="shared" ref="E99:E137" si="12">SUM(C99:D99)</f>
        <v>1354587</v>
      </c>
      <c r="F99" s="427"/>
      <c r="G99" s="427">
        <f>914118+22000-20000+300000-22000+42000+297+79+118000+93</f>
        <v>1354587</v>
      </c>
      <c r="H99" s="427"/>
      <c r="I99" s="381"/>
      <c r="J99" s="381" t="s">
        <v>520</v>
      </c>
      <c r="K99" s="381"/>
    </row>
    <row r="100" spans="1:12" x14ac:dyDescent="0.25">
      <c r="A100" s="272"/>
      <c r="B100" s="289" t="s">
        <v>1042</v>
      </c>
      <c r="C100" s="287">
        <v>1272289</v>
      </c>
      <c r="D100" s="287"/>
      <c r="E100" s="287">
        <f t="shared" si="12"/>
        <v>1272289</v>
      </c>
      <c r="F100" s="287"/>
      <c r="G100" s="287">
        <f>812289+22000+300000-22000+42000+118000</f>
        <v>1272289</v>
      </c>
      <c r="H100" s="287"/>
      <c r="I100" s="288" t="s">
        <v>520</v>
      </c>
      <c r="J100" s="288"/>
      <c r="K100" s="288"/>
    </row>
    <row r="101" spans="1:12" ht="31.5" x14ac:dyDescent="0.25">
      <c r="A101" s="272"/>
      <c r="B101" s="289" t="s">
        <v>681</v>
      </c>
      <c r="C101" s="287">
        <v>63000</v>
      </c>
      <c r="D101" s="287"/>
      <c r="E101" s="287">
        <f t="shared" ref="E101" si="13">SUM(C101:D101)</f>
        <v>63000</v>
      </c>
      <c r="F101" s="287"/>
      <c r="G101" s="287">
        <v>63000</v>
      </c>
      <c r="H101" s="287"/>
      <c r="I101" s="288" t="s">
        <v>520</v>
      </c>
      <c r="J101" s="288"/>
      <c r="K101" s="288"/>
    </row>
    <row r="102" spans="1:12" ht="31.5" x14ac:dyDescent="0.25">
      <c r="A102" s="272"/>
      <c r="B102" s="289" t="s">
        <v>599</v>
      </c>
      <c r="C102" s="287">
        <v>18829</v>
      </c>
      <c r="D102" s="287"/>
      <c r="E102" s="287">
        <f t="shared" si="12"/>
        <v>18829</v>
      </c>
      <c r="F102" s="287"/>
      <c r="G102" s="287">
        <f>38829-20000</f>
        <v>18829</v>
      </c>
      <c r="H102" s="287"/>
      <c r="I102" s="288"/>
      <c r="J102" s="288" t="s">
        <v>520</v>
      </c>
      <c r="K102" s="288"/>
    </row>
    <row r="103" spans="1:12" x14ac:dyDescent="0.25">
      <c r="A103" s="272"/>
      <c r="B103" s="294" t="s">
        <v>523</v>
      </c>
      <c r="C103" s="427">
        <v>51826</v>
      </c>
      <c r="D103" s="427"/>
      <c r="E103" s="427">
        <f t="shared" si="12"/>
        <v>51826</v>
      </c>
      <c r="F103" s="427">
        <v>1363</v>
      </c>
      <c r="G103" s="427">
        <f>50418+45</f>
        <v>50463</v>
      </c>
      <c r="H103" s="427"/>
      <c r="I103" s="381" t="s">
        <v>520</v>
      </c>
      <c r="J103" s="381" t="s">
        <v>520</v>
      </c>
      <c r="K103" s="381"/>
    </row>
    <row r="104" spans="1:12" x14ac:dyDescent="0.25">
      <c r="A104" s="272"/>
      <c r="B104" s="289" t="s">
        <v>275</v>
      </c>
      <c r="C104" s="287">
        <v>7000</v>
      </c>
      <c r="D104" s="287"/>
      <c r="E104" s="287">
        <f t="shared" si="12"/>
        <v>7000</v>
      </c>
      <c r="F104" s="287"/>
      <c r="G104" s="287">
        <v>7000</v>
      </c>
      <c r="H104" s="287"/>
      <c r="I104" s="288"/>
      <c r="J104" s="288" t="s">
        <v>520</v>
      </c>
      <c r="K104" s="288"/>
    </row>
    <row r="105" spans="1:12" x14ac:dyDescent="0.25">
      <c r="A105" s="272"/>
      <c r="B105" s="426" t="s">
        <v>90</v>
      </c>
      <c r="C105" s="427">
        <v>6473</v>
      </c>
      <c r="D105" s="427"/>
      <c r="E105" s="427">
        <f t="shared" si="12"/>
        <v>6473</v>
      </c>
      <c r="F105" s="427"/>
      <c r="G105" s="427">
        <f>1973-500+5000</f>
        <v>6473</v>
      </c>
      <c r="H105" s="427"/>
      <c r="I105" s="381"/>
      <c r="J105" s="381" t="s">
        <v>520</v>
      </c>
      <c r="K105" s="381"/>
    </row>
    <row r="106" spans="1:12" x14ac:dyDescent="0.25">
      <c r="A106" s="272" t="s">
        <v>91</v>
      </c>
      <c r="B106" s="276" t="s">
        <v>66</v>
      </c>
      <c r="C106" s="290">
        <f>SUM(C206,C202,C193,C190,C137,C122,C107)</f>
        <v>1751795</v>
      </c>
      <c r="D106" s="290">
        <f>SUM(D206,D202,D193,D190,D137,D122,D107)</f>
        <v>0</v>
      </c>
      <c r="E106" s="290">
        <f t="shared" si="12"/>
        <v>1751795</v>
      </c>
      <c r="F106" s="290">
        <f>SUM(F206,F202,F193,F190,F137,F122,F107)</f>
        <v>45907</v>
      </c>
      <c r="G106" s="290">
        <f>SUM(G206,G202,G193,G190,G137,G122,G107)</f>
        <v>1713857</v>
      </c>
      <c r="H106" s="290">
        <f>SUM(H206,H202,H193,H190,H137,H122,H107)</f>
        <v>-7969</v>
      </c>
      <c r="I106" s="291" t="s">
        <v>520</v>
      </c>
      <c r="J106" s="291" t="s">
        <v>520</v>
      </c>
      <c r="K106" s="291"/>
    </row>
    <row r="107" spans="1:12" x14ac:dyDescent="0.25">
      <c r="A107" s="272"/>
      <c r="B107" s="426" t="s">
        <v>92</v>
      </c>
      <c r="C107" s="427">
        <v>170185</v>
      </c>
      <c r="D107" s="427"/>
      <c r="E107" s="427">
        <f t="shared" si="12"/>
        <v>170185</v>
      </c>
      <c r="F107" s="427">
        <v>7987</v>
      </c>
      <c r="G107" s="427">
        <f>249328-15000-77390+3993+844+423</f>
        <v>162198</v>
      </c>
      <c r="H107" s="427"/>
      <c r="I107" s="381" t="s">
        <v>520</v>
      </c>
      <c r="J107" s="381" t="s">
        <v>520</v>
      </c>
      <c r="K107" s="381"/>
    </row>
    <row r="108" spans="1:12" s="225" customFormat="1" ht="31.5" x14ac:dyDescent="0.25">
      <c r="A108" s="295"/>
      <c r="B108" s="296" t="s">
        <v>524</v>
      </c>
      <c r="C108" s="297">
        <v>7022</v>
      </c>
      <c r="D108" s="285"/>
      <c r="E108" s="281">
        <f t="shared" si="12"/>
        <v>7022</v>
      </c>
      <c r="F108" s="297"/>
      <c r="G108" s="285">
        <v>7022</v>
      </c>
      <c r="H108" s="285"/>
      <c r="I108" s="284" t="s">
        <v>520</v>
      </c>
      <c r="J108" s="284"/>
      <c r="K108" s="284"/>
    </row>
    <row r="109" spans="1:12" s="225" customFormat="1" ht="31.5" x14ac:dyDescent="0.25">
      <c r="A109" s="295"/>
      <c r="B109" s="296" t="s">
        <v>125</v>
      </c>
      <c r="C109" s="297">
        <v>2174</v>
      </c>
      <c r="D109" s="285"/>
      <c r="E109" s="281">
        <f t="shared" si="12"/>
        <v>2174</v>
      </c>
      <c r="F109" s="297"/>
      <c r="G109" s="285">
        <v>2174</v>
      </c>
      <c r="H109" s="285"/>
      <c r="I109" s="284" t="s">
        <v>520</v>
      </c>
      <c r="J109" s="284"/>
      <c r="K109" s="284"/>
    </row>
    <row r="110" spans="1:12" s="225" customFormat="1" ht="31.5" x14ac:dyDescent="0.25">
      <c r="A110" s="295"/>
      <c r="B110" s="296" t="s">
        <v>525</v>
      </c>
      <c r="C110" s="297">
        <v>4000</v>
      </c>
      <c r="D110" s="285"/>
      <c r="E110" s="281">
        <f t="shared" si="12"/>
        <v>4000</v>
      </c>
      <c r="F110" s="297"/>
      <c r="G110" s="285">
        <f>6000-2000</f>
        <v>4000</v>
      </c>
      <c r="H110" s="285"/>
      <c r="I110" s="284"/>
      <c r="J110" s="284" t="s">
        <v>520</v>
      </c>
      <c r="K110" s="284"/>
    </row>
    <row r="111" spans="1:12" s="225" customFormat="1" x14ac:dyDescent="0.25">
      <c r="A111" s="295"/>
      <c r="B111" s="296" t="s">
        <v>526</v>
      </c>
      <c r="C111" s="297">
        <v>3500</v>
      </c>
      <c r="D111" s="285"/>
      <c r="E111" s="281">
        <f t="shared" si="12"/>
        <v>3500</v>
      </c>
      <c r="F111" s="297"/>
      <c r="G111" s="285">
        <f>7000-3500</f>
        <v>3500</v>
      </c>
      <c r="H111" s="285"/>
      <c r="I111" s="284"/>
      <c r="J111" s="284" t="s">
        <v>520</v>
      </c>
      <c r="K111" s="284"/>
    </row>
    <row r="112" spans="1:12" s="225" customFormat="1" ht="31.5" x14ac:dyDescent="0.25">
      <c r="A112" s="295"/>
      <c r="B112" s="296" t="s">
        <v>527</v>
      </c>
      <c r="C112" s="297">
        <v>700</v>
      </c>
      <c r="D112" s="285"/>
      <c r="E112" s="281">
        <f t="shared" si="12"/>
        <v>700</v>
      </c>
      <c r="F112" s="297"/>
      <c r="G112" s="285">
        <v>700</v>
      </c>
      <c r="H112" s="285"/>
      <c r="I112" s="284"/>
      <c r="J112" s="284" t="s">
        <v>520</v>
      </c>
      <c r="K112" s="284"/>
    </row>
    <row r="113" spans="1:11" s="225" customFormat="1" x14ac:dyDescent="0.25">
      <c r="A113" s="295"/>
      <c r="B113" s="296" t="s">
        <v>600</v>
      </c>
      <c r="C113" s="297">
        <v>106674</v>
      </c>
      <c r="D113" s="285"/>
      <c r="E113" s="281">
        <f t="shared" si="12"/>
        <v>106674</v>
      </c>
      <c r="F113" s="297"/>
      <c r="G113" s="285">
        <f>156674-50000</f>
        <v>106674</v>
      </c>
      <c r="H113" s="285"/>
      <c r="I113" s="284"/>
      <c r="J113" s="284" t="s">
        <v>520</v>
      </c>
      <c r="K113" s="284"/>
    </row>
    <row r="114" spans="1:11" s="225" customFormat="1" x14ac:dyDescent="0.25">
      <c r="A114" s="295"/>
      <c r="B114" s="296" t="s">
        <v>528</v>
      </c>
      <c r="C114" s="297">
        <v>26008</v>
      </c>
      <c r="D114" s="285"/>
      <c r="E114" s="281">
        <f t="shared" si="12"/>
        <v>26008</v>
      </c>
      <c r="F114" s="297"/>
      <c r="G114" s="285">
        <v>26008</v>
      </c>
      <c r="H114" s="285"/>
      <c r="I114" s="284"/>
      <c r="J114" s="284" t="s">
        <v>520</v>
      </c>
      <c r="K114" s="284"/>
    </row>
    <row r="115" spans="1:11" s="225" customFormat="1" x14ac:dyDescent="0.25">
      <c r="A115" s="295"/>
      <c r="B115" s="296" t="s">
        <v>461</v>
      </c>
      <c r="C115" s="297">
        <v>100</v>
      </c>
      <c r="D115" s="285"/>
      <c r="E115" s="281">
        <f t="shared" si="12"/>
        <v>100</v>
      </c>
      <c r="F115" s="297"/>
      <c r="G115" s="285">
        <v>100</v>
      </c>
      <c r="H115" s="285"/>
      <c r="I115" s="284"/>
      <c r="J115" s="284" t="s">
        <v>520</v>
      </c>
      <c r="K115" s="284"/>
    </row>
    <row r="116" spans="1:11" s="225" customFormat="1" ht="31.5" x14ac:dyDescent="0.25">
      <c r="A116" s="295"/>
      <c r="B116" s="296" t="s">
        <v>462</v>
      </c>
      <c r="C116" s="297">
        <v>12864</v>
      </c>
      <c r="D116" s="285"/>
      <c r="E116" s="281">
        <f t="shared" si="12"/>
        <v>12864</v>
      </c>
      <c r="F116" s="297">
        <v>7987</v>
      </c>
      <c r="G116" s="285">
        <f>13100-8646+423</f>
        <v>4877</v>
      </c>
      <c r="H116" s="285"/>
      <c r="I116" s="284"/>
      <c r="J116" s="284" t="s">
        <v>520</v>
      </c>
      <c r="K116" s="284"/>
    </row>
    <row r="117" spans="1:11" s="225" customFormat="1" ht="31.5" x14ac:dyDescent="0.25">
      <c r="A117" s="295"/>
      <c r="B117" s="296" t="s">
        <v>463</v>
      </c>
      <c r="C117" s="297">
        <v>2000</v>
      </c>
      <c r="D117" s="285"/>
      <c r="E117" s="281">
        <f t="shared" si="12"/>
        <v>2000</v>
      </c>
      <c r="F117" s="297"/>
      <c r="G117" s="285">
        <f>3400-2244+844</f>
        <v>2000</v>
      </c>
      <c r="H117" s="285"/>
      <c r="I117" s="284"/>
      <c r="J117" s="284" t="s">
        <v>520</v>
      </c>
      <c r="K117" s="284"/>
    </row>
    <row r="118" spans="1:11" s="225" customFormat="1" ht="31.5" x14ac:dyDescent="0.25">
      <c r="A118" s="295"/>
      <c r="B118" s="296" t="s">
        <v>601</v>
      </c>
      <c r="C118" s="297">
        <v>0</v>
      </c>
      <c r="D118" s="285"/>
      <c r="E118" s="281">
        <f t="shared" si="12"/>
        <v>0</v>
      </c>
      <c r="F118" s="297"/>
      <c r="G118" s="285">
        <f>26000-15000-11000</f>
        <v>0</v>
      </c>
      <c r="H118" s="285"/>
      <c r="I118" s="284"/>
      <c r="J118" s="284" t="s">
        <v>520</v>
      </c>
      <c r="K118" s="284"/>
    </row>
    <row r="119" spans="1:11" s="225" customFormat="1" ht="31.5" x14ac:dyDescent="0.25">
      <c r="A119" s="295"/>
      <c r="B119" s="296" t="s">
        <v>602</v>
      </c>
      <c r="C119" s="297">
        <v>0</v>
      </c>
      <c r="D119" s="285"/>
      <c r="E119" s="281">
        <f t="shared" si="12"/>
        <v>0</v>
      </c>
      <c r="F119" s="297"/>
      <c r="G119" s="285">
        <v>0</v>
      </c>
      <c r="H119" s="285"/>
      <c r="I119" s="284"/>
      <c r="J119" s="284" t="s">
        <v>520</v>
      </c>
      <c r="K119" s="284"/>
    </row>
    <row r="120" spans="1:11" s="225" customFormat="1" x14ac:dyDescent="0.25">
      <c r="A120" s="295"/>
      <c r="B120" s="296" t="s">
        <v>682</v>
      </c>
      <c r="C120" s="297">
        <v>1000</v>
      </c>
      <c r="D120" s="285"/>
      <c r="E120" s="281">
        <f t="shared" ref="E120" si="14">SUM(C120:D120)</f>
        <v>1000</v>
      </c>
      <c r="F120" s="297"/>
      <c r="G120" s="285">
        <v>1000</v>
      </c>
      <c r="H120" s="285"/>
      <c r="I120" s="284"/>
      <c r="J120" s="284" t="s">
        <v>520</v>
      </c>
      <c r="K120" s="284"/>
    </row>
    <row r="121" spans="1:11" s="225" customFormat="1" ht="31.5" x14ac:dyDescent="0.25">
      <c r="A121" s="295"/>
      <c r="B121" s="296" t="s">
        <v>945</v>
      </c>
      <c r="C121" s="297">
        <v>3993</v>
      </c>
      <c r="D121" s="550"/>
      <c r="E121" s="281">
        <f t="shared" si="12"/>
        <v>3993</v>
      </c>
      <c r="F121" s="297"/>
      <c r="G121" s="285">
        <v>3993</v>
      </c>
      <c r="H121" s="285"/>
      <c r="I121" s="284"/>
      <c r="J121" s="284" t="s">
        <v>520</v>
      </c>
      <c r="K121" s="284"/>
    </row>
    <row r="122" spans="1:11" x14ac:dyDescent="0.25">
      <c r="A122" s="272"/>
      <c r="B122" s="426" t="s">
        <v>93</v>
      </c>
      <c r="C122" s="427">
        <v>328074</v>
      </c>
      <c r="D122" s="427"/>
      <c r="E122" s="427">
        <f t="shared" si="12"/>
        <v>328074</v>
      </c>
      <c r="F122" s="427">
        <v>0</v>
      </c>
      <c r="G122" s="427">
        <f>434053+15000-135000+3000-7439+1000+18660</f>
        <v>329274</v>
      </c>
      <c r="H122" s="427">
        <v>-1200</v>
      </c>
      <c r="I122" s="381" t="s">
        <v>520</v>
      </c>
      <c r="J122" s="381" t="s">
        <v>520</v>
      </c>
      <c r="K122" s="381"/>
    </row>
    <row r="123" spans="1:11" s="225" customFormat="1" ht="31.5" x14ac:dyDescent="0.25">
      <c r="A123" s="295"/>
      <c r="B123" s="296" t="s">
        <v>326</v>
      </c>
      <c r="C123" s="297">
        <v>74000</v>
      </c>
      <c r="D123" s="285"/>
      <c r="E123" s="281">
        <f t="shared" si="12"/>
        <v>74000</v>
      </c>
      <c r="F123" s="297"/>
      <c r="G123" s="285">
        <f>84000-10000</f>
        <v>74000</v>
      </c>
      <c r="H123" s="285"/>
      <c r="I123" s="284" t="s">
        <v>520</v>
      </c>
      <c r="J123" s="284"/>
      <c r="K123" s="284"/>
    </row>
    <row r="124" spans="1:11" s="225" customFormat="1" x14ac:dyDescent="0.25">
      <c r="A124" s="295"/>
      <c r="B124" s="296" t="s">
        <v>117</v>
      </c>
      <c r="C124" s="297">
        <v>29400</v>
      </c>
      <c r="D124" s="285"/>
      <c r="E124" s="281">
        <f t="shared" si="12"/>
        <v>29400</v>
      </c>
      <c r="F124" s="297"/>
      <c r="G124" s="285">
        <v>29400</v>
      </c>
      <c r="H124" s="285"/>
      <c r="I124" s="284" t="s">
        <v>520</v>
      </c>
      <c r="J124" s="284"/>
      <c r="K124" s="284"/>
    </row>
    <row r="125" spans="1:11" s="225" customFormat="1" ht="31.5" x14ac:dyDescent="0.25">
      <c r="A125" s="295"/>
      <c r="B125" s="296" t="s">
        <v>464</v>
      </c>
      <c r="C125" s="297">
        <v>16000</v>
      </c>
      <c r="D125" s="285"/>
      <c r="E125" s="281">
        <f t="shared" si="12"/>
        <v>16000</v>
      </c>
      <c r="F125" s="297"/>
      <c r="G125" s="285">
        <f>12000+3000+1000</f>
        <v>16000</v>
      </c>
      <c r="H125" s="285"/>
      <c r="I125" s="284"/>
      <c r="J125" s="284" t="s">
        <v>520</v>
      </c>
      <c r="K125" s="284"/>
    </row>
    <row r="126" spans="1:11" s="225" customFormat="1" x14ac:dyDescent="0.25">
      <c r="A126" s="295"/>
      <c r="B126" s="296" t="s">
        <v>465</v>
      </c>
      <c r="C126" s="297">
        <v>13000</v>
      </c>
      <c r="D126" s="285"/>
      <c r="E126" s="281">
        <f t="shared" si="12"/>
        <v>13000</v>
      </c>
      <c r="F126" s="297"/>
      <c r="G126" s="285">
        <v>13000</v>
      </c>
      <c r="H126" s="285"/>
      <c r="I126" s="284"/>
      <c r="J126" s="284" t="s">
        <v>520</v>
      </c>
      <c r="K126" s="284"/>
    </row>
    <row r="127" spans="1:11" s="225" customFormat="1" x14ac:dyDescent="0.25">
      <c r="A127" s="295"/>
      <c r="B127" s="296" t="s">
        <v>466</v>
      </c>
      <c r="C127" s="297">
        <v>78462</v>
      </c>
      <c r="D127" s="285"/>
      <c r="E127" s="281">
        <f t="shared" si="12"/>
        <v>78462</v>
      </c>
      <c r="F127" s="297"/>
      <c r="G127" s="285">
        <f>63462+15000</f>
        <v>78462</v>
      </c>
      <c r="H127" s="285"/>
      <c r="I127" s="284"/>
      <c r="J127" s="284" t="s">
        <v>520</v>
      </c>
      <c r="K127" s="284"/>
    </row>
    <row r="128" spans="1:11" s="225" customFormat="1" ht="31.5" x14ac:dyDescent="0.25">
      <c r="A128" s="295"/>
      <c r="B128" s="296" t="s">
        <v>467</v>
      </c>
      <c r="C128" s="297">
        <v>68660</v>
      </c>
      <c r="D128" s="285"/>
      <c r="E128" s="281">
        <f t="shared" si="12"/>
        <v>68660</v>
      </c>
      <c r="F128" s="297"/>
      <c r="G128" s="285">
        <f>150000-100000+18660</f>
        <v>68660</v>
      </c>
      <c r="H128" s="285"/>
      <c r="I128" s="284"/>
      <c r="J128" s="284" t="s">
        <v>520</v>
      </c>
      <c r="K128" s="298"/>
    </row>
    <row r="129" spans="1:11" s="225" customFormat="1" x14ac:dyDescent="0.25">
      <c r="A129" s="295"/>
      <c r="B129" s="296" t="s">
        <v>468</v>
      </c>
      <c r="C129" s="297">
        <v>13000</v>
      </c>
      <c r="D129" s="285"/>
      <c r="E129" s="281">
        <f t="shared" si="12"/>
        <v>13000</v>
      </c>
      <c r="F129" s="297"/>
      <c r="G129" s="285">
        <v>14200</v>
      </c>
      <c r="H129" s="285">
        <v>-1200</v>
      </c>
      <c r="I129" s="284"/>
      <c r="J129" s="284" t="s">
        <v>520</v>
      </c>
      <c r="K129" s="298"/>
    </row>
    <row r="130" spans="1:11" s="225" customFormat="1" ht="47.25" x14ac:dyDescent="0.25">
      <c r="A130" s="295"/>
      <c r="B130" s="296" t="s">
        <v>683</v>
      </c>
      <c r="C130" s="297">
        <v>25974</v>
      </c>
      <c r="D130" s="285"/>
      <c r="E130" s="281">
        <f t="shared" si="12"/>
        <v>25974</v>
      </c>
      <c r="F130" s="297"/>
      <c r="G130" s="285">
        <v>25974</v>
      </c>
      <c r="H130" s="285"/>
      <c r="I130" s="284"/>
      <c r="J130" s="284" t="s">
        <v>520</v>
      </c>
      <c r="K130" s="298"/>
    </row>
    <row r="131" spans="1:11" s="225" customFormat="1" x14ac:dyDescent="0.25">
      <c r="A131" s="295"/>
      <c r="B131" s="296" t="s">
        <v>529</v>
      </c>
      <c r="C131" s="297">
        <v>500</v>
      </c>
      <c r="D131" s="285"/>
      <c r="E131" s="281">
        <f t="shared" si="12"/>
        <v>500</v>
      </c>
      <c r="F131" s="297"/>
      <c r="G131" s="285">
        <v>500</v>
      </c>
      <c r="H131" s="285"/>
      <c r="I131" s="284"/>
      <c r="J131" s="284" t="s">
        <v>520</v>
      </c>
      <c r="K131" s="298"/>
    </row>
    <row r="132" spans="1:11" s="225" customFormat="1" x14ac:dyDescent="0.25">
      <c r="A132" s="295"/>
      <c r="B132" s="296" t="s">
        <v>684</v>
      </c>
      <c r="C132" s="297">
        <v>1104</v>
      </c>
      <c r="D132" s="285"/>
      <c r="E132" s="281">
        <f t="shared" si="12"/>
        <v>1104</v>
      </c>
      <c r="F132" s="297"/>
      <c r="G132" s="285">
        <v>1104</v>
      </c>
      <c r="H132" s="285"/>
      <c r="I132" s="284"/>
      <c r="J132" s="284" t="s">
        <v>520</v>
      </c>
      <c r="K132" s="298"/>
    </row>
    <row r="133" spans="1:11" s="225" customFormat="1" x14ac:dyDescent="0.25">
      <c r="A133" s="295"/>
      <c r="B133" s="296" t="s">
        <v>685</v>
      </c>
      <c r="C133" s="297">
        <v>2123</v>
      </c>
      <c r="D133" s="285"/>
      <c r="E133" s="281">
        <f t="shared" si="12"/>
        <v>2123</v>
      </c>
      <c r="F133" s="297"/>
      <c r="G133" s="285">
        <f>9562-7439</f>
        <v>2123</v>
      </c>
      <c r="H133" s="285"/>
      <c r="I133" s="284"/>
      <c r="J133" s="284" t="s">
        <v>520</v>
      </c>
      <c r="K133" s="298"/>
    </row>
    <row r="134" spans="1:11" s="225" customFormat="1" x14ac:dyDescent="0.25">
      <c r="A134" s="295"/>
      <c r="B134" s="296" t="s">
        <v>686</v>
      </c>
      <c r="C134" s="297">
        <v>0</v>
      </c>
      <c r="D134" s="285"/>
      <c r="E134" s="281">
        <f t="shared" si="12"/>
        <v>0</v>
      </c>
      <c r="F134" s="297"/>
      <c r="G134" s="285">
        <f>25000-25000</f>
        <v>0</v>
      </c>
      <c r="H134" s="285"/>
      <c r="I134" s="284"/>
      <c r="J134" s="284" t="s">
        <v>520</v>
      </c>
      <c r="K134" s="298"/>
    </row>
    <row r="135" spans="1:11" s="225" customFormat="1" x14ac:dyDescent="0.25">
      <c r="A135" s="295"/>
      <c r="B135" s="296" t="s">
        <v>687</v>
      </c>
      <c r="C135" s="297">
        <v>4702</v>
      </c>
      <c r="D135" s="285"/>
      <c r="E135" s="281">
        <f t="shared" si="12"/>
        <v>4702</v>
      </c>
      <c r="F135" s="297"/>
      <c r="G135" s="285">
        <v>4702</v>
      </c>
      <c r="H135" s="285"/>
      <c r="I135" s="284"/>
      <c r="J135" s="284" t="s">
        <v>520</v>
      </c>
      <c r="K135" s="298"/>
    </row>
    <row r="136" spans="1:11" s="225" customFormat="1" x14ac:dyDescent="0.25">
      <c r="A136" s="295"/>
      <c r="B136" s="296" t="s">
        <v>530</v>
      </c>
      <c r="C136" s="297">
        <v>849</v>
      </c>
      <c r="D136" s="285"/>
      <c r="E136" s="281">
        <f t="shared" si="12"/>
        <v>849</v>
      </c>
      <c r="F136" s="297"/>
      <c r="G136" s="285">
        <v>849</v>
      </c>
      <c r="H136" s="285"/>
      <c r="I136" s="284"/>
      <c r="J136" s="284" t="s">
        <v>520</v>
      </c>
      <c r="K136" s="298"/>
    </row>
    <row r="137" spans="1:11" x14ac:dyDescent="0.25">
      <c r="A137" s="272"/>
      <c r="B137" s="587" t="s">
        <v>94</v>
      </c>
      <c r="C137" s="427">
        <v>443466</v>
      </c>
      <c r="D137" s="427"/>
      <c r="E137" s="427">
        <f t="shared" si="12"/>
        <v>443466</v>
      </c>
      <c r="F137" s="427">
        <v>34293</v>
      </c>
      <c r="G137" s="427">
        <f>896679-2500-10000-800-500-1325-600-1750-500-600-400-665-6250-750-500-12100-5000-3000-4300-6145+4-4+1000+1000+5000-500-42040-72931-200000+8000-100000-11355+2000-19995</f>
        <v>409173</v>
      </c>
      <c r="H137" s="427"/>
      <c r="I137" s="381" t="s">
        <v>520</v>
      </c>
      <c r="J137" s="381" t="s">
        <v>520</v>
      </c>
      <c r="K137" s="381"/>
    </row>
    <row r="138" spans="1:11" x14ac:dyDescent="0.25">
      <c r="A138" s="272"/>
      <c r="B138" s="276" t="s">
        <v>119</v>
      </c>
      <c r="C138" s="287"/>
      <c r="D138" s="287"/>
      <c r="E138" s="287"/>
      <c r="F138" s="287"/>
      <c r="G138" s="287"/>
      <c r="H138" s="287"/>
      <c r="I138" s="288"/>
      <c r="J138" s="288"/>
      <c r="K138" s="288"/>
    </row>
    <row r="139" spans="1:11" s="225" customFormat="1" x14ac:dyDescent="0.25">
      <c r="A139" s="295"/>
      <c r="B139" s="296" t="s">
        <v>531</v>
      </c>
      <c r="C139" s="297">
        <v>5447</v>
      </c>
      <c r="D139" s="285"/>
      <c r="E139" s="281">
        <f t="shared" ref="E139:E141" si="15">SUM(C139:D139)</f>
        <v>5447</v>
      </c>
      <c r="F139" s="297"/>
      <c r="G139" s="285">
        <f>7947-2500</f>
        <v>5447</v>
      </c>
      <c r="H139" s="285"/>
      <c r="I139" s="284" t="s">
        <v>520</v>
      </c>
      <c r="J139" s="284"/>
      <c r="K139" s="298"/>
    </row>
    <row r="140" spans="1:11" s="225" customFormat="1" x14ac:dyDescent="0.25">
      <c r="A140" s="295"/>
      <c r="B140" s="296" t="s">
        <v>603</v>
      </c>
      <c r="C140" s="297">
        <v>6000</v>
      </c>
      <c r="D140" s="285"/>
      <c r="E140" s="281">
        <f t="shared" si="15"/>
        <v>6000</v>
      </c>
      <c r="F140" s="297"/>
      <c r="G140" s="285">
        <v>6000</v>
      </c>
      <c r="H140" s="285"/>
      <c r="I140" s="284"/>
      <c r="J140" s="284" t="s">
        <v>520</v>
      </c>
      <c r="K140" s="298"/>
    </row>
    <row r="141" spans="1:11" s="225" customFormat="1" x14ac:dyDescent="0.25">
      <c r="A141" s="295"/>
      <c r="B141" s="296" t="s">
        <v>604</v>
      </c>
      <c r="C141" s="297">
        <v>334</v>
      </c>
      <c r="D141" s="285"/>
      <c r="E141" s="281">
        <f t="shared" si="15"/>
        <v>334</v>
      </c>
      <c r="F141" s="297"/>
      <c r="G141" s="285">
        <f>330+4</f>
        <v>334</v>
      </c>
      <c r="H141" s="285"/>
      <c r="I141" s="284"/>
      <c r="J141" s="284" t="s">
        <v>520</v>
      </c>
      <c r="K141" s="298"/>
    </row>
    <row r="142" spans="1:11" x14ac:dyDescent="0.25">
      <c r="A142" s="272"/>
      <c r="B142" s="276" t="s">
        <v>120</v>
      </c>
      <c r="C142" s="287"/>
      <c r="D142" s="287"/>
      <c r="E142" s="287"/>
      <c r="F142" s="287"/>
      <c r="G142" s="287"/>
      <c r="H142" s="287"/>
      <c r="I142" s="288"/>
      <c r="J142" s="288"/>
      <c r="K142" s="288"/>
    </row>
    <row r="143" spans="1:11" s="225" customFormat="1" x14ac:dyDescent="0.25">
      <c r="A143" s="295"/>
      <c r="B143" s="278" t="s">
        <v>235</v>
      </c>
      <c r="C143" s="279">
        <v>1000</v>
      </c>
      <c r="D143" s="285"/>
      <c r="E143" s="281">
        <f t="shared" ref="E143:E169" si="16">SUM(C143:D143)</f>
        <v>1000</v>
      </c>
      <c r="F143" s="279"/>
      <c r="G143" s="285">
        <v>1000</v>
      </c>
      <c r="H143" s="285"/>
      <c r="I143" s="284"/>
      <c r="J143" s="284" t="s">
        <v>520</v>
      </c>
      <c r="K143" s="298"/>
    </row>
    <row r="144" spans="1:11" s="225" customFormat="1" x14ac:dyDescent="0.25">
      <c r="A144" s="295"/>
      <c r="B144" s="278" t="s">
        <v>118</v>
      </c>
      <c r="C144" s="279">
        <v>1500</v>
      </c>
      <c r="D144" s="285"/>
      <c r="E144" s="281">
        <f t="shared" si="16"/>
        <v>1500</v>
      </c>
      <c r="F144" s="279"/>
      <c r="G144" s="285">
        <f>3000-1500</f>
        <v>1500</v>
      </c>
      <c r="H144" s="285"/>
      <c r="I144" s="284" t="s">
        <v>520</v>
      </c>
      <c r="J144" s="284"/>
      <c r="K144" s="298"/>
    </row>
    <row r="145" spans="1:13" s="225" customFormat="1" x14ac:dyDescent="0.25">
      <c r="A145" s="295"/>
      <c r="B145" s="278" t="s">
        <v>318</v>
      </c>
      <c r="C145" s="279">
        <v>9000</v>
      </c>
      <c r="D145" s="285"/>
      <c r="E145" s="281">
        <f t="shared" si="16"/>
        <v>9000</v>
      </c>
      <c r="F145" s="279"/>
      <c r="G145" s="285">
        <f>18000-9000</f>
        <v>9000</v>
      </c>
      <c r="H145" s="285"/>
      <c r="I145" s="284" t="s">
        <v>520</v>
      </c>
      <c r="J145" s="284"/>
      <c r="K145" s="298"/>
    </row>
    <row r="146" spans="1:13" s="225" customFormat="1" x14ac:dyDescent="0.25">
      <c r="A146" s="295"/>
      <c r="B146" s="278" t="s">
        <v>319</v>
      </c>
      <c r="C146" s="279">
        <v>6250</v>
      </c>
      <c r="D146" s="285"/>
      <c r="E146" s="281">
        <f t="shared" si="16"/>
        <v>6250</v>
      </c>
      <c r="F146" s="279"/>
      <c r="G146" s="285">
        <f>12500-6250</f>
        <v>6250</v>
      </c>
      <c r="H146" s="285"/>
      <c r="I146" s="284"/>
      <c r="J146" s="284" t="s">
        <v>520</v>
      </c>
      <c r="K146" s="298"/>
    </row>
    <row r="147" spans="1:13" s="225" customFormat="1" x14ac:dyDescent="0.25">
      <c r="A147" s="295"/>
      <c r="B147" s="278" t="s">
        <v>127</v>
      </c>
      <c r="C147" s="279">
        <v>0</v>
      </c>
      <c r="D147" s="285"/>
      <c r="E147" s="281">
        <f t="shared" si="16"/>
        <v>0</v>
      </c>
      <c r="F147" s="279"/>
      <c r="G147" s="285">
        <f>1600-800-800</f>
        <v>0</v>
      </c>
      <c r="H147" s="285"/>
      <c r="I147" s="284" t="s">
        <v>520</v>
      </c>
      <c r="J147" s="284"/>
      <c r="K147" s="298"/>
    </row>
    <row r="148" spans="1:13" s="225" customFormat="1" x14ac:dyDescent="0.25">
      <c r="A148" s="295"/>
      <c r="B148" s="278" t="s">
        <v>128</v>
      </c>
      <c r="C148" s="279">
        <v>0</v>
      </c>
      <c r="D148" s="285"/>
      <c r="E148" s="281">
        <f t="shared" si="16"/>
        <v>0</v>
      </c>
      <c r="F148" s="279"/>
      <c r="G148" s="285">
        <f>1000-500-500</f>
        <v>0</v>
      </c>
      <c r="H148" s="285"/>
      <c r="I148" s="284" t="s">
        <v>520</v>
      </c>
      <c r="J148" s="284"/>
      <c r="K148" s="298"/>
    </row>
    <row r="149" spans="1:13" s="225" customFormat="1" x14ac:dyDescent="0.25">
      <c r="A149" s="295"/>
      <c r="B149" s="278" t="s">
        <v>72</v>
      </c>
      <c r="C149" s="279">
        <v>0</v>
      </c>
      <c r="D149" s="285"/>
      <c r="E149" s="281">
        <f t="shared" si="16"/>
        <v>0</v>
      </c>
      <c r="F149" s="279"/>
      <c r="G149" s="285">
        <f>2650-1325-1325</f>
        <v>0</v>
      </c>
      <c r="H149" s="285"/>
      <c r="I149" s="284" t="s">
        <v>520</v>
      </c>
      <c r="J149" s="284"/>
      <c r="K149" s="298"/>
    </row>
    <row r="150" spans="1:13" s="225" customFormat="1" x14ac:dyDescent="0.25">
      <c r="A150" s="295"/>
      <c r="B150" s="278" t="s">
        <v>73</v>
      </c>
      <c r="C150" s="279">
        <v>0</v>
      </c>
      <c r="D150" s="285"/>
      <c r="E150" s="281">
        <f t="shared" si="16"/>
        <v>0</v>
      </c>
      <c r="F150" s="279"/>
      <c r="G150" s="285">
        <f>1200-600-600</f>
        <v>0</v>
      </c>
      <c r="H150" s="285"/>
      <c r="I150" s="284" t="s">
        <v>520</v>
      </c>
      <c r="J150" s="284"/>
      <c r="K150" s="298"/>
    </row>
    <row r="151" spans="1:13" s="225" customFormat="1" x14ac:dyDescent="0.25">
      <c r="A151" s="295"/>
      <c r="B151" s="278" t="s">
        <v>129</v>
      </c>
      <c r="C151" s="279">
        <v>0</v>
      </c>
      <c r="D151" s="285"/>
      <c r="E151" s="281">
        <f t="shared" si="16"/>
        <v>0</v>
      </c>
      <c r="F151" s="279"/>
      <c r="G151" s="285">
        <f>3500-1750-1750</f>
        <v>0</v>
      </c>
      <c r="H151" s="285"/>
      <c r="I151" s="284" t="s">
        <v>520</v>
      </c>
      <c r="J151" s="284"/>
      <c r="K151" s="298"/>
    </row>
    <row r="152" spans="1:13" s="225" customFormat="1" x14ac:dyDescent="0.25">
      <c r="A152" s="295"/>
      <c r="B152" s="278" t="s">
        <v>112</v>
      </c>
      <c r="C152" s="279">
        <v>4000</v>
      </c>
      <c r="D152" s="285"/>
      <c r="E152" s="281">
        <f t="shared" si="16"/>
        <v>4000</v>
      </c>
      <c r="F152" s="279"/>
      <c r="G152" s="285">
        <f>8000-4000</f>
        <v>4000</v>
      </c>
      <c r="H152" s="285"/>
      <c r="I152" s="284" t="s">
        <v>520</v>
      </c>
      <c r="J152" s="284"/>
      <c r="K152" s="298"/>
    </row>
    <row r="153" spans="1:13" s="225" customFormat="1" ht="31.5" x14ac:dyDescent="0.25">
      <c r="A153" s="295"/>
      <c r="B153" s="278" t="s">
        <v>957</v>
      </c>
      <c r="C153" s="279">
        <v>2000</v>
      </c>
      <c r="D153" s="285"/>
      <c r="E153" s="281">
        <f t="shared" ref="E153" si="17">SUM(C153:D153)</f>
        <v>2000</v>
      </c>
      <c r="F153" s="279"/>
      <c r="G153" s="285">
        <v>2000</v>
      </c>
      <c r="H153" s="285"/>
      <c r="I153" s="284"/>
      <c r="J153" s="284" t="s">
        <v>520</v>
      </c>
      <c r="K153" s="298"/>
    </row>
    <row r="154" spans="1:13" s="225" customFormat="1" ht="31.5" x14ac:dyDescent="0.25">
      <c r="A154" s="295"/>
      <c r="B154" s="278" t="s">
        <v>605</v>
      </c>
      <c r="C154" s="279">
        <v>1000</v>
      </c>
      <c r="D154" s="285"/>
      <c r="E154" s="281">
        <f t="shared" si="16"/>
        <v>1000</v>
      </c>
      <c r="F154" s="279"/>
      <c r="G154" s="285">
        <f>2000-1000</f>
        <v>1000</v>
      </c>
      <c r="H154" s="285"/>
      <c r="I154" s="284" t="s">
        <v>520</v>
      </c>
      <c r="J154" s="284"/>
      <c r="K154" s="298"/>
    </row>
    <row r="155" spans="1:13" s="225" customFormat="1" x14ac:dyDescent="0.25">
      <c r="A155" s="295"/>
      <c r="B155" s="278" t="s">
        <v>121</v>
      </c>
      <c r="C155" s="279">
        <v>4300</v>
      </c>
      <c r="D155" s="285"/>
      <c r="E155" s="281">
        <f t="shared" si="16"/>
        <v>4300</v>
      </c>
      <c r="F155" s="279"/>
      <c r="G155" s="285">
        <f>8600-4300</f>
        <v>4300</v>
      </c>
      <c r="H155" s="285"/>
      <c r="I155" s="284" t="s">
        <v>520</v>
      </c>
      <c r="J155" s="284"/>
      <c r="K155" s="298"/>
    </row>
    <row r="156" spans="1:13" s="225" customFormat="1" x14ac:dyDescent="0.25">
      <c r="A156" s="295"/>
      <c r="B156" s="278" t="s">
        <v>130</v>
      </c>
      <c r="C156" s="279">
        <v>2850</v>
      </c>
      <c r="D156" s="285"/>
      <c r="E156" s="281">
        <f t="shared" si="16"/>
        <v>2850</v>
      </c>
      <c r="F156" s="279"/>
      <c r="G156" s="285">
        <f>5700-2850</f>
        <v>2850</v>
      </c>
      <c r="H156" s="285"/>
      <c r="I156" s="284" t="s">
        <v>520</v>
      </c>
      <c r="J156" s="284"/>
      <c r="K156" s="298"/>
    </row>
    <row r="157" spans="1:13" s="225" customFormat="1" x14ac:dyDescent="0.25">
      <c r="A157" s="295"/>
      <c r="B157" s="278" t="s">
        <v>320</v>
      </c>
      <c r="C157" s="279">
        <v>11500</v>
      </c>
      <c r="D157" s="285"/>
      <c r="E157" s="281">
        <f t="shared" si="16"/>
        <v>11500</v>
      </c>
      <c r="F157" s="279"/>
      <c r="G157" s="285">
        <f>23000-11500</f>
        <v>11500</v>
      </c>
      <c r="H157" s="285"/>
      <c r="I157" s="284" t="s">
        <v>520</v>
      </c>
      <c r="J157" s="284"/>
      <c r="K157" s="298"/>
    </row>
    <row r="158" spans="1:13" s="225" customFormat="1" ht="31.5" x14ac:dyDescent="0.25">
      <c r="A158" s="295"/>
      <c r="B158" s="278" t="s">
        <v>252</v>
      </c>
      <c r="C158" s="279">
        <v>100</v>
      </c>
      <c r="D158" s="285"/>
      <c r="E158" s="281">
        <f t="shared" si="16"/>
        <v>100</v>
      </c>
      <c r="F158" s="279"/>
      <c r="G158" s="285">
        <v>100</v>
      </c>
      <c r="H158" s="285"/>
      <c r="I158" s="284"/>
      <c r="J158" s="284" t="s">
        <v>520</v>
      </c>
      <c r="K158" s="298"/>
    </row>
    <row r="159" spans="1:13" s="225" customFormat="1" x14ac:dyDescent="0.25">
      <c r="A159" s="295"/>
      <c r="B159" s="278" t="s">
        <v>236</v>
      </c>
      <c r="C159" s="279">
        <v>77521</v>
      </c>
      <c r="D159" s="285"/>
      <c r="E159" s="281">
        <f t="shared" si="16"/>
        <v>77521</v>
      </c>
      <c r="F159" s="279"/>
      <c r="G159" s="285">
        <f>95021-6145-11355</f>
        <v>77521</v>
      </c>
      <c r="H159" s="285"/>
      <c r="I159" s="284" t="s">
        <v>520</v>
      </c>
      <c r="J159" s="284"/>
      <c r="K159" s="298"/>
    </row>
    <row r="160" spans="1:13" s="225" customFormat="1" x14ac:dyDescent="0.25">
      <c r="A160" s="295"/>
      <c r="B160" s="278" t="s">
        <v>325</v>
      </c>
      <c r="C160" s="279">
        <v>223312</v>
      </c>
      <c r="D160" s="285"/>
      <c r="E160" s="281">
        <f t="shared" si="16"/>
        <v>223312</v>
      </c>
      <c r="F160" s="279">
        <v>34073</v>
      </c>
      <c r="G160" s="285">
        <f>509234-200000-100000-19995</f>
        <v>189239</v>
      </c>
      <c r="H160" s="285"/>
      <c r="I160" s="284" t="s">
        <v>520</v>
      </c>
      <c r="J160" s="284"/>
      <c r="K160" s="298"/>
      <c r="M160" s="379"/>
    </row>
    <row r="161" spans="1:11" s="225" customFormat="1" x14ac:dyDescent="0.25">
      <c r="A161" s="295"/>
      <c r="B161" s="278" t="s">
        <v>469</v>
      </c>
      <c r="C161" s="279">
        <v>0</v>
      </c>
      <c r="D161" s="285"/>
      <c r="E161" s="281">
        <f t="shared" si="16"/>
        <v>0</v>
      </c>
      <c r="F161" s="279"/>
      <c r="G161" s="285">
        <f>10000-10000</f>
        <v>0</v>
      </c>
      <c r="H161" s="285"/>
      <c r="I161" s="284"/>
      <c r="J161" s="284"/>
      <c r="K161" s="298"/>
    </row>
    <row r="162" spans="1:11" s="225" customFormat="1" x14ac:dyDescent="0.25">
      <c r="A162" s="295"/>
      <c r="B162" s="278" t="s">
        <v>263</v>
      </c>
      <c r="C162" s="279">
        <v>0</v>
      </c>
      <c r="D162" s="285"/>
      <c r="E162" s="281">
        <f t="shared" si="16"/>
        <v>0</v>
      </c>
      <c r="F162" s="279"/>
      <c r="G162" s="285">
        <f>1000-500-500</f>
        <v>0</v>
      </c>
      <c r="H162" s="285"/>
      <c r="I162" s="284" t="s">
        <v>520</v>
      </c>
      <c r="J162" s="284"/>
      <c r="K162" s="298"/>
    </row>
    <row r="163" spans="1:11" s="225" customFormat="1" x14ac:dyDescent="0.25">
      <c r="A163" s="295"/>
      <c r="B163" s="278" t="s">
        <v>251</v>
      </c>
      <c r="C163" s="279">
        <v>0</v>
      </c>
      <c r="D163" s="285"/>
      <c r="E163" s="281">
        <f t="shared" si="16"/>
        <v>0</v>
      </c>
      <c r="F163" s="279"/>
      <c r="G163" s="285">
        <f>1200-600-600</f>
        <v>0</v>
      </c>
      <c r="H163" s="285"/>
      <c r="I163" s="284" t="s">
        <v>520</v>
      </c>
      <c r="J163" s="284"/>
      <c r="K163" s="298"/>
    </row>
    <row r="164" spans="1:11" s="225" customFormat="1" x14ac:dyDescent="0.25">
      <c r="A164" s="295"/>
      <c r="B164" s="278" t="s">
        <v>253</v>
      </c>
      <c r="C164" s="279">
        <v>0</v>
      </c>
      <c r="D164" s="285"/>
      <c r="E164" s="281">
        <f t="shared" si="16"/>
        <v>0</v>
      </c>
      <c r="F164" s="279"/>
      <c r="G164" s="285">
        <f>800-400-400</f>
        <v>0</v>
      </c>
      <c r="H164" s="285"/>
      <c r="I164" s="284" t="s">
        <v>520</v>
      </c>
      <c r="J164" s="284"/>
      <c r="K164" s="298"/>
    </row>
    <row r="165" spans="1:11" s="225" customFormat="1" x14ac:dyDescent="0.25">
      <c r="A165" s="295"/>
      <c r="B165" s="299" t="s">
        <v>470</v>
      </c>
      <c r="C165" s="300">
        <v>0</v>
      </c>
      <c r="D165" s="285"/>
      <c r="E165" s="281">
        <f t="shared" si="16"/>
        <v>0</v>
      </c>
      <c r="F165" s="300"/>
      <c r="G165" s="285">
        <f>1500-750-750</f>
        <v>0</v>
      </c>
      <c r="H165" s="285"/>
      <c r="I165" s="284" t="s">
        <v>520</v>
      </c>
      <c r="J165" s="284"/>
      <c r="K165" s="298"/>
    </row>
    <row r="166" spans="1:11" s="225" customFormat="1" x14ac:dyDescent="0.25">
      <c r="A166" s="295"/>
      <c r="B166" s="299" t="s">
        <v>532</v>
      </c>
      <c r="C166" s="300">
        <v>0</v>
      </c>
      <c r="D166" s="285"/>
      <c r="E166" s="281">
        <f t="shared" si="16"/>
        <v>0</v>
      </c>
      <c r="F166" s="300"/>
      <c r="G166" s="285">
        <f>1330-665-665</f>
        <v>0</v>
      </c>
      <c r="H166" s="285"/>
      <c r="I166" s="284" t="s">
        <v>520</v>
      </c>
      <c r="J166" s="284"/>
      <c r="K166" s="298"/>
    </row>
    <row r="167" spans="1:11" s="225" customFormat="1" x14ac:dyDescent="0.25">
      <c r="A167" s="295"/>
      <c r="B167" s="299" t="s">
        <v>606</v>
      </c>
      <c r="C167" s="300">
        <v>0</v>
      </c>
      <c r="D167" s="285"/>
      <c r="E167" s="281">
        <f t="shared" si="16"/>
        <v>0</v>
      </c>
      <c r="F167" s="300"/>
      <c r="G167" s="285">
        <f>500-500</f>
        <v>0</v>
      </c>
      <c r="H167" s="285"/>
      <c r="I167" s="284"/>
      <c r="J167" s="284" t="s">
        <v>520</v>
      </c>
      <c r="K167" s="298"/>
    </row>
    <row r="168" spans="1:11" s="225" customFormat="1" x14ac:dyDescent="0.25">
      <c r="A168" s="295"/>
      <c r="B168" s="296" t="s">
        <v>607</v>
      </c>
      <c r="C168" s="300">
        <v>30000</v>
      </c>
      <c r="D168" s="285"/>
      <c r="E168" s="281">
        <f t="shared" si="16"/>
        <v>30000</v>
      </c>
      <c r="F168" s="300"/>
      <c r="G168" s="285">
        <v>30000</v>
      </c>
      <c r="H168" s="285"/>
      <c r="I168" s="284"/>
      <c r="J168" s="284" t="s">
        <v>520</v>
      </c>
      <c r="K168" s="298"/>
    </row>
    <row r="169" spans="1:11" s="225" customFormat="1" x14ac:dyDescent="0.25">
      <c r="A169" s="295"/>
      <c r="B169" s="299" t="s">
        <v>566</v>
      </c>
      <c r="C169" s="300">
        <v>1000</v>
      </c>
      <c r="D169" s="285"/>
      <c r="E169" s="281">
        <f t="shared" si="16"/>
        <v>1000</v>
      </c>
      <c r="F169" s="300"/>
      <c r="G169" s="285">
        <v>1000</v>
      </c>
      <c r="H169" s="285"/>
      <c r="I169" s="284"/>
      <c r="J169" s="284" t="s">
        <v>520</v>
      </c>
      <c r="K169" s="298"/>
    </row>
    <row r="170" spans="1:11" x14ac:dyDescent="0.25">
      <c r="A170" s="272"/>
      <c r="B170" s="276" t="s">
        <v>237</v>
      </c>
      <c r="C170" s="287"/>
      <c r="D170" s="287"/>
      <c r="E170" s="287"/>
      <c r="F170" s="287"/>
      <c r="G170" s="287"/>
      <c r="H170" s="287"/>
      <c r="I170" s="288"/>
      <c r="J170" s="288"/>
      <c r="K170" s="288"/>
    </row>
    <row r="171" spans="1:11" s="225" customFormat="1" x14ac:dyDescent="0.25">
      <c r="A171" s="295"/>
      <c r="B171" s="299" t="s">
        <v>533</v>
      </c>
      <c r="C171" s="300">
        <v>4436</v>
      </c>
      <c r="D171" s="285"/>
      <c r="E171" s="281">
        <f t="shared" ref="E171:E241" si="18">SUM(C171:D171)</f>
        <v>4436</v>
      </c>
      <c r="F171" s="300"/>
      <c r="G171" s="285">
        <f>19436-15000</f>
        <v>4436</v>
      </c>
      <c r="H171" s="285"/>
      <c r="I171" s="284"/>
      <c r="J171" s="284" t="s">
        <v>520</v>
      </c>
      <c r="K171" s="298"/>
    </row>
    <row r="172" spans="1:11" s="225" customFormat="1" x14ac:dyDescent="0.25">
      <c r="A172" s="295"/>
      <c r="B172" s="299" t="s">
        <v>534</v>
      </c>
      <c r="C172" s="300">
        <v>14195</v>
      </c>
      <c r="D172" s="285"/>
      <c r="E172" s="281">
        <f t="shared" si="18"/>
        <v>14195</v>
      </c>
      <c r="F172" s="300">
        <v>220</v>
      </c>
      <c r="G172" s="285">
        <f>13079-12100-4+5000+8000</f>
        <v>13975</v>
      </c>
      <c r="H172" s="285"/>
      <c r="I172" s="284"/>
      <c r="J172" s="284" t="s">
        <v>520</v>
      </c>
      <c r="K172" s="298"/>
    </row>
    <row r="173" spans="1:11" s="225" customFormat="1" x14ac:dyDescent="0.25">
      <c r="A173" s="295"/>
      <c r="B173" s="299" t="s">
        <v>535</v>
      </c>
      <c r="C173" s="300">
        <v>0</v>
      </c>
      <c r="D173" s="285"/>
      <c r="E173" s="281">
        <f t="shared" si="18"/>
        <v>0</v>
      </c>
      <c r="F173" s="300"/>
      <c r="G173" s="285">
        <f>12000+-12000</f>
        <v>0</v>
      </c>
      <c r="H173" s="285"/>
      <c r="I173" s="284"/>
      <c r="J173" s="284" t="s">
        <v>520</v>
      </c>
      <c r="K173" s="298"/>
    </row>
    <row r="174" spans="1:11" s="225" customFormat="1" x14ac:dyDescent="0.25">
      <c r="A174" s="295"/>
      <c r="B174" s="299" t="s">
        <v>536</v>
      </c>
      <c r="C174" s="300">
        <v>1500</v>
      </c>
      <c r="D174" s="285"/>
      <c r="E174" s="281">
        <f t="shared" si="18"/>
        <v>1500</v>
      </c>
      <c r="F174" s="300"/>
      <c r="G174" s="285">
        <v>1500</v>
      </c>
      <c r="H174" s="285"/>
      <c r="I174" s="284"/>
      <c r="J174" s="284" t="s">
        <v>520</v>
      </c>
      <c r="K174" s="298"/>
    </row>
    <row r="175" spans="1:11" s="225" customFormat="1" x14ac:dyDescent="0.25">
      <c r="A175" s="295"/>
      <c r="B175" s="299" t="s">
        <v>537</v>
      </c>
      <c r="C175" s="300">
        <v>0</v>
      </c>
      <c r="D175" s="285"/>
      <c r="E175" s="281">
        <f t="shared" si="18"/>
        <v>0</v>
      </c>
      <c r="F175" s="300"/>
      <c r="G175" s="285">
        <f>500-500</f>
        <v>0</v>
      </c>
      <c r="H175" s="285"/>
      <c r="I175" s="284"/>
      <c r="J175" s="284" t="s">
        <v>520</v>
      </c>
      <c r="K175" s="298"/>
    </row>
    <row r="176" spans="1:11" s="225" customFormat="1" x14ac:dyDescent="0.25">
      <c r="A176" s="295"/>
      <c r="B176" s="299" t="s">
        <v>538</v>
      </c>
      <c r="C176" s="300">
        <v>0</v>
      </c>
      <c r="D176" s="285"/>
      <c r="E176" s="281">
        <f t="shared" si="18"/>
        <v>0</v>
      </c>
      <c r="F176" s="300"/>
      <c r="G176" s="285">
        <f>500-500</f>
        <v>0</v>
      </c>
      <c r="H176" s="285"/>
      <c r="I176" s="284"/>
      <c r="J176" s="284" t="s">
        <v>520</v>
      </c>
      <c r="K176" s="298"/>
    </row>
    <row r="177" spans="1:11" s="225" customFormat="1" x14ac:dyDescent="0.25">
      <c r="A177" s="295"/>
      <c r="B177" s="299" t="s">
        <v>608</v>
      </c>
      <c r="C177" s="300">
        <v>2000</v>
      </c>
      <c r="D177" s="285"/>
      <c r="E177" s="281">
        <f t="shared" si="18"/>
        <v>2000</v>
      </c>
      <c r="F177" s="300"/>
      <c r="G177" s="285">
        <v>2000</v>
      </c>
      <c r="H177" s="285"/>
      <c r="I177" s="284"/>
      <c r="J177" s="284" t="s">
        <v>520</v>
      </c>
      <c r="K177" s="298"/>
    </row>
    <row r="178" spans="1:11" s="225" customFormat="1" x14ac:dyDescent="0.25">
      <c r="A178" s="295"/>
      <c r="B178" s="299" t="s">
        <v>609</v>
      </c>
      <c r="C178" s="300">
        <v>400</v>
      </c>
      <c r="D178" s="285"/>
      <c r="E178" s="281">
        <f t="shared" si="18"/>
        <v>400</v>
      </c>
      <c r="F178" s="300"/>
      <c r="G178" s="285">
        <f>6400-6000</f>
        <v>400</v>
      </c>
      <c r="H178" s="285"/>
      <c r="I178" s="284"/>
      <c r="J178" s="284" t="s">
        <v>520</v>
      </c>
      <c r="K178" s="298"/>
    </row>
    <row r="179" spans="1:11" s="225" customFormat="1" x14ac:dyDescent="0.25">
      <c r="A179" s="295"/>
      <c r="B179" s="299" t="s">
        <v>610</v>
      </c>
      <c r="C179" s="300">
        <v>2351</v>
      </c>
      <c r="D179" s="285"/>
      <c r="E179" s="281">
        <f t="shared" si="18"/>
        <v>2351</v>
      </c>
      <c r="F179" s="300"/>
      <c r="G179" s="285">
        <f>6770-4419</f>
        <v>2351</v>
      </c>
      <c r="H179" s="285"/>
      <c r="I179" s="284"/>
      <c r="J179" s="284" t="s">
        <v>520</v>
      </c>
      <c r="K179" s="298"/>
    </row>
    <row r="180" spans="1:11" s="225" customFormat="1" x14ac:dyDescent="0.25">
      <c r="A180" s="295"/>
      <c r="B180" s="299" t="s">
        <v>653</v>
      </c>
      <c r="C180" s="300">
        <v>0</v>
      </c>
      <c r="D180" s="285"/>
      <c r="E180" s="281">
        <f t="shared" si="18"/>
        <v>0</v>
      </c>
      <c r="F180" s="300"/>
      <c r="G180" s="285">
        <f>3000-3000</f>
        <v>0</v>
      </c>
      <c r="H180" s="285"/>
      <c r="I180" s="284"/>
      <c r="J180" s="284" t="s">
        <v>520</v>
      </c>
      <c r="K180" s="298"/>
    </row>
    <row r="181" spans="1:11" s="225" customFormat="1" x14ac:dyDescent="0.25">
      <c r="A181" s="295"/>
      <c r="B181" s="299" t="s">
        <v>688</v>
      </c>
      <c r="C181" s="300">
        <v>27000</v>
      </c>
      <c r="D181" s="285"/>
      <c r="E181" s="281">
        <f t="shared" si="18"/>
        <v>27000</v>
      </c>
      <c r="F181" s="300"/>
      <c r="G181" s="285">
        <f>25000+1000+1000</f>
        <v>27000</v>
      </c>
      <c r="H181" s="285"/>
      <c r="I181" s="284"/>
      <c r="J181" s="284" t="s">
        <v>520</v>
      </c>
      <c r="K181" s="298"/>
    </row>
    <row r="182" spans="1:11" s="225" customFormat="1" x14ac:dyDescent="0.25">
      <c r="A182" s="295"/>
      <c r="B182" s="296" t="s">
        <v>611</v>
      </c>
      <c r="C182" s="300">
        <v>1519</v>
      </c>
      <c r="D182" s="285"/>
      <c r="E182" s="281">
        <f>SUM(C182:D182)</f>
        <v>1519</v>
      </c>
      <c r="F182" s="300"/>
      <c r="G182" s="285">
        <f>3946-2427</f>
        <v>1519</v>
      </c>
      <c r="H182" s="285"/>
      <c r="I182" s="284"/>
      <c r="J182" s="284" t="s">
        <v>520</v>
      </c>
      <c r="K182" s="298"/>
    </row>
    <row r="183" spans="1:11" s="225" customFormat="1" ht="31.5" x14ac:dyDescent="0.25">
      <c r="A183" s="295"/>
      <c r="B183" s="296" t="s">
        <v>689</v>
      </c>
      <c r="C183" s="300">
        <v>1270</v>
      </c>
      <c r="D183" s="285"/>
      <c r="E183" s="281">
        <f>SUM(C183:D183)</f>
        <v>1270</v>
      </c>
      <c r="F183" s="300"/>
      <c r="G183" s="285">
        <v>1270</v>
      </c>
      <c r="H183" s="285"/>
      <c r="I183" s="284"/>
      <c r="J183" s="284" t="s">
        <v>520</v>
      </c>
      <c r="K183" s="298"/>
    </row>
    <row r="184" spans="1:11" s="225" customFormat="1" x14ac:dyDescent="0.25">
      <c r="A184" s="295"/>
      <c r="B184" s="296" t="s">
        <v>690</v>
      </c>
      <c r="C184" s="297">
        <v>0</v>
      </c>
      <c r="D184" s="285"/>
      <c r="E184" s="281">
        <f t="shared" si="18"/>
        <v>0</v>
      </c>
      <c r="F184" s="297"/>
      <c r="G184" s="285">
        <f>10200-10200</f>
        <v>0</v>
      </c>
      <c r="H184" s="285"/>
      <c r="I184" s="284"/>
      <c r="J184" s="284" t="s">
        <v>520</v>
      </c>
      <c r="K184" s="298"/>
    </row>
    <row r="185" spans="1:11" s="225" customFormat="1" x14ac:dyDescent="0.25">
      <c r="A185" s="295"/>
      <c r="B185" s="296" t="s">
        <v>691</v>
      </c>
      <c r="C185" s="297">
        <v>0</v>
      </c>
      <c r="D185" s="285"/>
      <c r="E185" s="281">
        <f t="shared" si="18"/>
        <v>0</v>
      </c>
      <c r="F185" s="297"/>
      <c r="G185" s="285">
        <f>18885-18885</f>
        <v>0</v>
      </c>
      <c r="H185" s="285"/>
      <c r="I185" s="284"/>
      <c r="J185" s="284" t="s">
        <v>520</v>
      </c>
      <c r="K185" s="298"/>
    </row>
    <row r="186" spans="1:11" s="225" customFormat="1" x14ac:dyDescent="0.25">
      <c r="A186" s="295"/>
      <c r="B186" s="296" t="s">
        <v>692</v>
      </c>
      <c r="C186" s="297">
        <v>0</v>
      </c>
      <c r="D186" s="285"/>
      <c r="E186" s="281">
        <f t="shared" si="18"/>
        <v>0</v>
      </c>
      <c r="F186" s="297"/>
      <c r="G186" s="285">
        <f>5000-5000</f>
        <v>0</v>
      </c>
      <c r="H186" s="285"/>
      <c r="I186" s="284"/>
      <c r="J186" s="284" t="s">
        <v>520</v>
      </c>
      <c r="K186" s="298"/>
    </row>
    <row r="187" spans="1:11" s="225" customFormat="1" x14ac:dyDescent="0.25">
      <c r="A187" s="295"/>
      <c r="B187" s="296" t="s">
        <v>693</v>
      </c>
      <c r="C187" s="297">
        <v>1500</v>
      </c>
      <c r="D187" s="285"/>
      <c r="E187" s="281">
        <f t="shared" si="18"/>
        <v>1500</v>
      </c>
      <c r="F187" s="297"/>
      <c r="G187" s="285">
        <v>1500</v>
      </c>
      <c r="H187" s="285"/>
      <c r="I187" s="284"/>
      <c r="J187" s="284" t="s">
        <v>520</v>
      </c>
      <c r="K187" s="298"/>
    </row>
    <row r="188" spans="1:11" s="225" customFormat="1" x14ac:dyDescent="0.25">
      <c r="A188" s="295"/>
      <c r="B188" s="296" t="s">
        <v>694</v>
      </c>
      <c r="C188" s="297">
        <v>0</v>
      </c>
      <c r="D188" s="285"/>
      <c r="E188" s="281">
        <f t="shared" si="18"/>
        <v>0</v>
      </c>
      <c r="F188" s="297"/>
      <c r="G188" s="285">
        <f>3000-3000</f>
        <v>0</v>
      </c>
      <c r="H188" s="285"/>
      <c r="I188" s="284"/>
      <c r="J188" s="284" t="s">
        <v>520</v>
      </c>
      <c r="K188" s="298"/>
    </row>
    <row r="189" spans="1:11" s="225" customFormat="1" x14ac:dyDescent="0.25">
      <c r="A189" s="295"/>
      <c r="B189" s="296" t="s">
        <v>695</v>
      </c>
      <c r="C189" s="297">
        <v>0</v>
      </c>
      <c r="D189" s="285"/>
      <c r="E189" s="281">
        <f t="shared" si="18"/>
        <v>0</v>
      </c>
      <c r="F189" s="297"/>
      <c r="G189" s="285">
        <f>4300-4300</f>
        <v>0</v>
      </c>
      <c r="H189" s="285"/>
      <c r="I189" s="284"/>
      <c r="J189" s="284" t="s">
        <v>520</v>
      </c>
      <c r="K189" s="298"/>
    </row>
    <row r="190" spans="1:11" x14ac:dyDescent="0.25">
      <c r="A190" s="272"/>
      <c r="B190" s="426" t="s">
        <v>95</v>
      </c>
      <c r="C190" s="427">
        <f>SUM(C191:C192)</f>
        <v>19222</v>
      </c>
      <c r="D190" s="427">
        <f>SUM(D191:D192)</f>
        <v>0</v>
      </c>
      <c r="E190" s="427">
        <f t="shared" si="18"/>
        <v>19222</v>
      </c>
      <c r="F190" s="427">
        <f>SUM(F191:F192)</f>
        <v>3627</v>
      </c>
      <c r="G190" s="427">
        <f>SUM(G191:G192)</f>
        <v>22364</v>
      </c>
      <c r="H190" s="427">
        <f>SUM(H191:H192)</f>
        <v>-6769</v>
      </c>
      <c r="I190" s="381" t="s">
        <v>520</v>
      </c>
      <c r="J190" s="381"/>
      <c r="K190" s="381"/>
    </row>
    <row r="191" spans="1:11" x14ac:dyDescent="0.25">
      <c r="A191" s="272"/>
      <c r="B191" s="286" t="s">
        <v>122</v>
      </c>
      <c r="C191" s="287">
        <v>2942</v>
      </c>
      <c r="D191" s="287"/>
      <c r="E191" s="287">
        <f t="shared" si="18"/>
        <v>2942</v>
      </c>
      <c r="F191" s="287">
        <v>0</v>
      </c>
      <c r="G191" s="287">
        <f>8596-900-3400</f>
        <v>4296</v>
      </c>
      <c r="H191" s="287">
        <v>-1354</v>
      </c>
      <c r="I191" s="288" t="s">
        <v>520</v>
      </c>
      <c r="J191" s="429"/>
      <c r="K191" s="429"/>
    </row>
    <row r="192" spans="1:11" x14ac:dyDescent="0.25">
      <c r="A192" s="272"/>
      <c r="B192" s="286" t="s">
        <v>123</v>
      </c>
      <c r="C192" s="287">
        <v>16280</v>
      </c>
      <c r="D192" s="287"/>
      <c r="E192" s="287">
        <f t="shared" si="18"/>
        <v>16280</v>
      </c>
      <c r="F192" s="287">
        <v>3627</v>
      </c>
      <c r="G192" s="287">
        <f>42038-5603-2367-16000</f>
        <v>18068</v>
      </c>
      <c r="H192" s="287">
        <v>-5415</v>
      </c>
      <c r="I192" s="288" t="s">
        <v>520</v>
      </c>
      <c r="J192" s="429"/>
      <c r="K192" s="429"/>
    </row>
    <row r="193" spans="1:11" x14ac:dyDescent="0.25">
      <c r="A193" s="272"/>
      <c r="B193" s="426" t="s">
        <v>238</v>
      </c>
      <c r="C193" s="427">
        <f>SUM(C194:C201)</f>
        <v>497000</v>
      </c>
      <c r="D193" s="427">
        <f>D194+D195+D196+D197+D198+D199+D200+D201</f>
        <v>0</v>
      </c>
      <c r="E193" s="427">
        <f t="shared" si="18"/>
        <v>497000</v>
      </c>
      <c r="F193" s="427">
        <f>SUM(F194:F201)</f>
        <v>0</v>
      </c>
      <c r="G193" s="427">
        <f>SUM(G194:G201)</f>
        <v>497000</v>
      </c>
      <c r="H193" s="427"/>
      <c r="I193" s="381"/>
      <c r="J193" s="381" t="s">
        <v>520</v>
      </c>
      <c r="K193" s="381"/>
    </row>
    <row r="194" spans="1:11" ht="18" customHeight="1" x14ac:dyDescent="0.25">
      <c r="A194" s="272"/>
      <c r="B194" s="289" t="s">
        <v>471</v>
      </c>
      <c r="C194" s="287">
        <v>120000</v>
      </c>
      <c r="D194" s="287"/>
      <c r="E194" s="287">
        <f t="shared" si="18"/>
        <v>120000</v>
      </c>
      <c r="F194" s="287"/>
      <c r="G194" s="287">
        <f>120000-60000+60000</f>
        <v>120000</v>
      </c>
      <c r="H194" s="287"/>
      <c r="I194" s="288"/>
      <c r="J194" s="288" t="s">
        <v>520</v>
      </c>
      <c r="K194" s="288"/>
    </row>
    <row r="195" spans="1:11" x14ac:dyDescent="0.25">
      <c r="A195" s="272"/>
      <c r="B195" s="289" t="s">
        <v>539</v>
      </c>
      <c r="C195" s="287">
        <v>165000</v>
      </c>
      <c r="D195" s="287"/>
      <c r="E195" s="287">
        <f t="shared" si="18"/>
        <v>165000</v>
      </c>
      <c r="F195" s="287"/>
      <c r="G195" s="287">
        <v>165000</v>
      </c>
      <c r="H195" s="287"/>
      <c r="I195" s="288"/>
      <c r="J195" s="288" t="s">
        <v>520</v>
      </c>
      <c r="K195" s="288"/>
    </row>
    <row r="196" spans="1:11" x14ac:dyDescent="0.25">
      <c r="A196" s="272"/>
      <c r="B196" s="289" t="s">
        <v>111</v>
      </c>
      <c r="C196" s="287">
        <v>50000</v>
      </c>
      <c r="D196" s="287"/>
      <c r="E196" s="287">
        <f t="shared" si="18"/>
        <v>50000</v>
      </c>
      <c r="F196" s="287"/>
      <c r="G196" s="287">
        <f>60000-10000</f>
        <v>50000</v>
      </c>
      <c r="H196" s="287"/>
      <c r="I196" s="288"/>
      <c r="J196" s="288" t="s">
        <v>520</v>
      </c>
      <c r="K196" s="288"/>
    </row>
    <row r="197" spans="1:11" x14ac:dyDescent="0.25">
      <c r="A197" s="272"/>
      <c r="B197" s="289" t="s">
        <v>472</v>
      </c>
      <c r="C197" s="287">
        <v>32000</v>
      </c>
      <c r="D197" s="287"/>
      <c r="E197" s="287">
        <f t="shared" si="18"/>
        <v>32000</v>
      </c>
      <c r="F197" s="287"/>
      <c r="G197" s="287">
        <v>32000</v>
      </c>
      <c r="H197" s="287"/>
      <c r="I197" s="288"/>
      <c r="J197" s="288" t="s">
        <v>520</v>
      </c>
      <c r="K197" s="288"/>
    </row>
    <row r="198" spans="1:11" x14ac:dyDescent="0.25">
      <c r="A198" s="272"/>
      <c r="B198" s="289" t="s">
        <v>1138</v>
      </c>
      <c r="C198" s="287">
        <v>0</v>
      </c>
      <c r="D198" s="287"/>
      <c r="E198" s="287">
        <f t="shared" si="18"/>
        <v>0</v>
      </c>
      <c r="F198" s="287"/>
      <c r="G198" s="287">
        <f>9000-9000</f>
        <v>0</v>
      </c>
      <c r="H198" s="287"/>
      <c r="I198" s="288"/>
      <c r="J198" s="288" t="s">
        <v>520</v>
      </c>
      <c r="K198" s="288"/>
    </row>
    <row r="199" spans="1:11" x14ac:dyDescent="0.25">
      <c r="A199" s="272"/>
      <c r="B199" s="289" t="s">
        <v>67</v>
      </c>
      <c r="C199" s="287">
        <v>17500</v>
      </c>
      <c r="D199" s="287"/>
      <c r="E199" s="287">
        <f t="shared" si="18"/>
        <v>17500</v>
      </c>
      <c r="F199" s="287"/>
      <c r="G199" s="287">
        <f>35000-17500</f>
        <v>17500</v>
      </c>
      <c r="H199" s="287"/>
      <c r="I199" s="288"/>
      <c r="J199" s="288" t="s">
        <v>520</v>
      </c>
      <c r="K199" s="288"/>
    </row>
    <row r="200" spans="1:11" x14ac:dyDescent="0.25">
      <c r="A200" s="272"/>
      <c r="B200" s="289" t="s">
        <v>321</v>
      </c>
      <c r="C200" s="287">
        <v>112500</v>
      </c>
      <c r="D200" s="287"/>
      <c r="E200" s="287">
        <f t="shared" si="18"/>
        <v>112500</v>
      </c>
      <c r="F200" s="287"/>
      <c r="G200" s="287">
        <f>126000-13500</f>
        <v>112500</v>
      </c>
      <c r="H200" s="287"/>
      <c r="I200" s="288"/>
      <c r="J200" s="288" t="s">
        <v>520</v>
      </c>
      <c r="K200" s="288"/>
    </row>
    <row r="201" spans="1:11" x14ac:dyDescent="0.25">
      <c r="A201" s="272"/>
      <c r="B201" s="289" t="s">
        <v>100</v>
      </c>
      <c r="C201" s="287">
        <v>0</v>
      </c>
      <c r="D201" s="287"/>
      <c r="E201" s="287">
        <f t="shared" si="18"/>
        <v>0</v>
      </c>
      <c r="F201" s="287"/>
      <c r="G201" s="287">
        <f>7000-7000</f>
        <v>0</v>
      </c>
      <c r="H201" s="287"/>
      <c r="I201" s="288"/>
      <c r="J201" s="288" t="s">
        <v>520</v>
      </c>
      <c r="K201" s="288"/>
    </row>
    <row r="202" spans="1:11" x14ac:dyDescent="0.25">
      <c r="A202" s="272"/>
      <c r="B202" s="426" t="s">
        <v>134</v>
      </c>
      <c r="C202" s="427">
        <f>C203+C204+C205</f>
        <v>170000</v>
      </c>
      <c r="D202" s="427">
        <f t="shared" ref="D202:E202" si="19">D203+D204+D205</f>
        <v>0</v>
      </c>
      <c r="E202" s="427">
        <f t="shared" si="19"/>
        <v>170000</v>
      </c>
      <c r="F202" s="427">
        <f>SUM(F203:F205)</f>
        <v>0</v>
      </c>
      <c r="G202" s="427">
        <f>SUM(G203:G205)</f>
        <v>170000</v>
      </c>
      <c r="H202" s="427">
        <f>SUM(H203:H205)</f>
        <v>0</v>
      </c>
      <c r="I202" s="381" t="s">
        <v>520</v>
      </c>
      <c r="J202" s="381"/>
      <c r="K202" s="381"/>
    </row>
    <row r="203" spans="1:11" ht="31.5" x14ac:dyDescent="0.25">
      <c r="A203" s="272"/>
      <c r="B203" s="289" t="s">
        <v>540</v>
      </c>
      <c r="C203" s="287">
        <v>102000</v>
      </c>
      <c r="D203" s="287"/>
      <c r="E203" s="287">
        <f t="shared" si="18"/>
        <v>102000</v>
      </c>
      <c r="F203" s="287"/>
      <c r="G203" s="287">
        <f>130000-28000</f>
        <v>102000</v>
      </c>
      <c r="H203" s="287"/>
      <c r="I203" s="288" t="s">
        <v>520</v>
      </c>
      <c r="J203" s="288"/>
      <c r="K203" s="288"/>
    </row>
    <row r="204" spans="1:11" ht="30" customHeight="1" x14ac:dyDescent="0.25">
      <c r="A204" s="272"/>
      <c r="B204" s="289" t="s">
        <v>135</v>
      </c>
      <c r="C204" s="287">
        <v>35000</v>
      </c>
      <c r="D204" s="287"/>
      <c r="E204" s="287">
        <f t="shared" si="18"/>
        <v>35000</v>
      </c>
      <c r="F204" s="287"/>
      <c r="G204" s="287">
        <f>40000-5000</f>
        <v>35000</v>
      </c>
      <c r="H204" s="287"/>
      <c r="I204" s="288" t="s">
        <v>520</v>
      </c>
      <c r="J204" s="288"/>
      <c r="K204" s="288"/>
    </row>
    <row r="205" spans="1:11" ht="31.5" x14ac:dyDescent="0.25">
      <c r="A205" s="272"/>
      <c r="B205" s="289" t="s">
        <v>51</v>
      </c>
      <c r="C205" s="287">
        <v>33000</v>
      </c>
      <c r="D205" s="287"/>
      <c r="E205" s="287">
        <f t="shared" si="18"/>
        <v>33000</v>
      </c>
      <c r="F205" s="287"/>
      <c r="G205" s="287">
        <f>35000-2000</f>
        <v>33000</v>
      </c>
      <c r="H205" s="287"/>
      <c r="I205" s="288" t="s">
        <v>520</v>
      </c>
      <c r="J205" s="288"/>
      <c r="K205" s="288"/>
    </row>
    <row r="206" spans="1:11" x14ac:dyDescent="0.25">
      <c r="A206" s="272"/>
      <c r="B206" s="426" t="s">
        <v>239</v>
      </c>
      <c r="C206" s="427">
        <f>C207+C208+C209+C210+C211+C212+C213+C214+C215+C216+C217+C218+C219+C220+C221+C222+C223+C224+C225</f>
        <v>123848</v>
      </c>
      <c r="D206" s="427">
        <f>D207+D208+D209+D210+D211+D212+D213+D214+D215+D216+D217+D218+D219+D220+D221+D222+D223+D224+D225</f>
        <v>0</v>
      </c>
      <c r="E206" s="427">
        <f t="shared" si="18"/>
        <v>123848</v>
      </c>
      <c r="F206" s="427">
        <v>0</v>
      </c>
      <c r="G206" s="427">
        <f>243150-1000-20000-500-4600+3900+2000+38000-58000-24300-8000-15000-31802</f>
        <v>123848</v>
      </c>
      <c r="H206" s="427"/>
      <c r="I206" s="381"/>
      <c r="J206" s="381" t="s">
        <v>520</v>
      </c>
      <c r="K206" s="381"/>
    </row>
    <row r="207" spans="1:11" s="225" customFormat="1" ht="31.5" x14ac:dyDescent="0.25">
      <c r="A207" s="295"/>
      <c r="B207" s="296" t="s">
        <v>612</v>
      </c>
      <c r="C207" s="297">
        <v>0</v>
      </c>
      <c r="D207" s="285"/>
      <c r="E207" s="281">
        <f t="shared" si="18"/>
        <v>0</v>
      </c>
      <c r="F207" s="297"/>
      <c r="G207" s="285">
        <f>2500-2500</f>
        <v>0</v>
      </c>
      <c r="H207" s="285"/>
      <c r="I207" s="284"/>
      <c r="J207" s="284" t="s">
        <v>520</v>
      </c>
      <c r="K207" s="298"/>
    </row>
    <row r="208" spans="1:11" s="225" customFormat="1" x14ac:dyDescent="0.25">
      <c r="A208" s="295"/>
      <c r="B208" s="296" t="s">
        <v>322</v>
      </c>
      <c r="C208" s="297">
        <v>500</v>
      </c>
      <c r="D208" s="285"/>
      <c r="E208" s="281">
        <f t="shared" si="18"/>
        <v>500</v>
      </c>
      <c r="F208" s="297"/>
      <c r="G208" s="285">
        <f>500</f>
        <v>500</v>
      </c>
      <c r="H208" s="285"/>
      <c r="I208" s="284"/>
      <c r="J208" s="284" t="s">
        <v>520</v>
      </c>
      <c r="K208" s="298"/>
    </row>
    <row r="209" spans="1:11" s="225" customFormat="1" x14ac:dyDescent="0.25">
      <c r="A209" s="295"/>
      <c r="B209" s="296" t="s">
        <v>323</v>
      </c>
      <c r="C209" s="297">
        <v>0</v>
      </c>
      <c r="D209" s="285"/>
      <c r="E209" s="281">
        <f t="shared" si="18"/>
        <v>0</v>
      </c>
      <c r="F209" s="297"/>
      <c r="G209" s="285">
        <f>12000-12000</f>
        <v>0</v>
      </c>
      <c r="H209" s="285"/>
      <c r="I209" s="284"/>
      <c r="J209" s="284" t="s">
        <v>520</v>
      </c>
      <c r="K209" s="298"/>
    </row>
    <row r="210" spans="1:11" s="225" customFormat="1" ht="31.5" x14ac:dyDescent="0.25">
      <c r="A210" s="295"/>
      <c r="B210" s="296" t="s">
        <v>541</v>
      </c>
      <c r="C210" s="297">
        <v>15000</v>
      </c>
      <c r="D210" s="285"/>
      <c r="E210" s="281">
        <f t="shared" si="18"/>
        <v>15000</v>
      </c>
      <c r="F210" s="297"/>
      <c r="G210" s="285">
        <f>41000-26000</f>
        <v>15000</v>
      </c>
      <c r="H210" s="285"/>
      <c r="I210" s="284"/>
      <c r="J210" s="284" t="s">
        <v>520</v>
      </c>
      <c r="K210" s="298"/>
    </row>
    <row r="211" spans="1:11" s="225" customFormat="1" ht="31.5" x14ac:dyDescent="0.25">
      <c r="A211" s="295"/>
      <c r="B211" s="296" t="s">
        <v>542</v>
      </c>
      <c r="C211" s="297">
        <v>0</v>
      </c>
      <c r="D211" s="285"/>
      <c r="E211" s="281">
        <f t="shared" si="18"/>
        <v>0</v>
      </c>
      <c r="F211" s="297"/>
      <c r="G211" s="285">
        <f>4000-4000</f>
        <v>0</v>
      </c>
      <c r="H211" s="285"/>
      <c r="I211" s="284"/>
      <c r="J211" s="284" t="s">
        <v>520</v>
      </c>
      <c r="K211" s="298"/>
    </row>
    <row r="212" spans="1:11" s="225" customFormat="1" ht="31.5" x14ac:dyDescent="0.25">
      <c r="A212" s="295"/>
      <c r="B212" s="296" t="s">
        <v>324</v>
      </c>
      <c r="C212" s="297">
        <v>0</v>
      </c>
      <c r="D212" s="285"/>
      <c r="E212" s="281">
        <f t="shared" si="18"/>
        <v>0</v>
      </c>
      <c r="F212" s="297"/>
      <c r="G212" s="285">
        <f>1000-1000</f>
        <v>0</v>
      </c>
      <c r="H212" s="285"/>
      <c r="I212" s="284"/>
      <c r="J212" s="284" t="s">
        <v>520</v>
      </c>
      <c r="K212" s="298"/>
    </row>
    <row r="213" spans="1:11" s="225" customFormat="1" x14ac:dyDescent="0.25">
      <c r="A213" s="295"/>
      <c r="B213" s="296" t="s">
        <v>543</v>
      </c>
      <c r="C213" s="297">
        <v>500</v>
      </c>
      <c r="D213" s="285"/>
      <c r="E213" s="281">
        <f t="shared" si="18"/>
        <v>500</v>
      </c>
      <c r="F213" s="297"/>
      <c r="G213" s="285">
        <f>1500-1000</f>
        <v>500</v>
      </c>
      <c r="H213" s="285"/>
      <c r="I213" s="284"/>
      <c r="J213" s="284" t="s">
        <v>520</v>
      </c>
      <c r="K213" s="298"/>
    </row>
    <row r="214" spans="1:11" s="225" customFormat="1" x14ac:dyDescent="0.25">
      <c r="A214" s="295"/>
      <c r="B214" s="296" t="s">
        <v>544</v>
      </c>
      <c r="C214" s="297">
        <v>17500</v>
      </c>
      <c r="D214" s="285"/>
      <c r="E214" s="281">
        <f t="shared" si="18"/>
        <v>17500</v>
      </c>
      <c r="F214" s="297"/>
      <c r="G214" s="285">
        <v>17500</v>
      </c>
      <c r="H214" s="285"/>
      <c r="I214" s="284"/>
      <c r="J214" s="284" t="s">
        <v>520</v>
      </c>
      <c r="K214" s="298"/>
    </row>
    <row r="215" spans="1:11" s="225" customFormat="1" x14ac:dyDescent="0.25">
      <c r="A215" s="295"/>
      <c r="B215" s="296" t="s">
        <v>473</v>
      </c>
      <c r="C215" s="297">
        <v>20000</v>
      </c>
      <c r="D215" s="285"/>
      <c r="E215" s="281">
        <f t="shared" si="18"/>
        <v>20000</v>
      </c>
      <c r="F215" s="297"/>
      <c r="G215" s="285">
        <f>25000-5000</f>
        <v>20000</v>
      </c>
      <c r="H215" s="285"/>
      <c r="I215" s="284"/>
      <c r="J215" s="284" t="s">
        <v>520</v>
      </c>
      <c r="K215" s="298"/>
    </row>
    <row r="216" spans="1:11" s="225" customFormat="1" x14ac:dyDescent="0.25">
      <c r="A216" s="295" t="s">
        <v>654</v>
      </c>
      <c r="B216" s="296" t="s">
        <v>474</v>
      </c>
      <c r="C216" s="297">
        <v>500</v>
      </c>
      <c r="D216" s="285"/>
      <c r="E216" s="281">
        <f t="shared" ref="E216:E221" si="20">SUM(C216:D216)</f>
        <v>500</v>
      </c>
      <c r="F216" s="297"/>
      <c r="G216" s="285">
        <f>1000-500</f>
        <v>500</v>
      </c>
      <c r="H216" s="285"/>
      <c r="I216" s="284"/>
      <c r="J216" s="284" t="s">
        <v>520</v>
      </c>
      <c r="K216" s="298"/>
    </row>
    <row r="217" spans="1:11" s="225" customFormat="1" x14ac:dyDescent="0.25">
      <c r="A217" s="295"/>
      <c r="B217" s="296" t="s">
        <v>696</v>
      </c>
      <c r="C217" s="297">
        <v>500</v>
      </c>
      <c r="D217" s="285"/>
      <c r="E217" s="281">
        <f t="shared" si="20"/>
        <v>500</v>
      </c>
      <c r="F217" s="297"/>
      <c r="G217" s="285">
        <f>1000-500</f>
        <v>500</v>
      </c>
      <c r="H217" s="285"/>
      <c r="I217" s="284"/>
      <c r="J217" s="284" t="s">
        <v>520</v>
      </c>
      <c r="K217" s="298"/>
    </row>
    <row r="218" spans="1:11" s="225" customFormat="1" x14ac:dyDescent="0.25">
      <c r="A218" s="295"/>
      <c r="B218" s="296" t="s">
        <v>613</v>
      </c>
      <c r="C218" s="297">
        <v>10000</v>
      </c>
      <c r="D218" s="285"/>
      <c r="E218" s="281">
        <f t="shared" si="20"/>
        <v>10000</v>
      </c>
      <c r="F218" s="297"/>
      <c r="G218" s="285">
        <f>15000-5000</f>
        <v>10000</v>
      </c>
      <c r="H218" s="285"/>
      <c r="I218" s="284"/>
      <c r="J218" s="284" t="s">
        <v>520</v>
      </c>
      <c r="K218" s="298"/>
    </row>
    <row r="219" spans="1:11" s="225" customFormat="1" x14ac:dyDescent="0.25">
      <c r="A219" s="295"/>
      <c r="B219" s="296" t="s">
        <v>614</v>
      </c>
      <c r="C219" s="297">
        <v>43650</v>
      </c>
      <c r="D219" s="285"/>
      <c r="E219" s="281">
        <f t="shared" si="20"/>
        <v>43650</v>
      </c>
      <c r="F219" s="297"/>
      <c r="G219" s="285">
        <f>42750-20000+3900+38000+2000-8000-15000</f>
        <v>43650</v>
      </c>
      <c r="H219" s="285"/>
      <c r="I219" s="284"/>
      <c r="J219" s="284" t="s">
        <v>520</v>
      </c>
      <c r="K219" s="298"/>
    </row>
    <row r="220" spans="1:11" s="225" customFormat="1" x14ac:dyDescent="0.25">
      <c r="A220" s="295"/>
      <c r="B220" s="296" t="s">
        <v>615</v>
      </c>
      <c r="C220" s="297">
        <v>500</v>
      </c>
      <c r="D220" s="285"/>
      <c r="E220" s="281">
        <f t="shared" si="20"/>
        <v>500</v>
      </c>
      <c r="F220" s="297"/>
      <c r="G220" s="285">
        <f>1000-500</f>
        <v>500</v>
      </c>
      <c r="H220" s="285"/>
      <c r="I220" s="284"/>
      <c r="J220" s="284" t="s">
        <v>520</v>
      </c>
      <c r="K220" s="298"/>
    </row>
    <row r="221" spans="1:11" s="225" customFormat="1" ht="31.5" x14ac:dyDescent="0.25">
      <c r="A221" s="295"/>
      <c r="B221" s="296" t="s">
        <v>616</v>
      </c>
      <c r="C221" s="297">
        <v>13198</v>
      </c>
      <c r="D221" s="285"/>
      <c r="E221" s="281">
        <f t="shared" si="20"/>
        <v>13198</v>
      </c>
      <c r="F221" s="297"/>
      <c r="G221" s="285">
        <f>45000-31802</f>
        <v>13198</v>
      </c>
      <c r="H221" s="285"/>
      <c r="I221" s="284"/>
      <c r="J221" s="284" t="s">
        <v>520</v>
      </c>
      <c r="K221" s="298"/>
    </row>
    <row r="222" spans="1:11" s="225" customFormat="1" x14ac:dyDescent="0.25">
      <c r="A222" s="295"/>
      <c r="B222" s="296" t="s">
        <v>697</v>
      </c>
      <c r="C222" s="297">
        <v>600</v>
      </c>
      <c r="D222" s="285"/>
      <c r="E222" s="281">
        <f t="shared" ref="E222:E224" si="21">SUM(C222:D222)</f>
        <v>600</v>
      </c>
      <c r="F222" s="297"/>
      <c r="G222" s="285">
        <f>1100-500</f>
        <v>600</v>
      </c>
      <c r="H222" s="285"/>
      <c r="I222" s="284"/>
      <c r="J222" s="284" t="s">
        <v>520</v>
      </c>
      <c r="K222" s="298"/>
    </row>
    <row r="223" spans="1:11" s="225" customFormat="1" ht="31.5" x14ac:dyDescent="0.25">
      <c r="A223" s="295"/>
      <c r="B223" s="296" t="s">
        <v>771</v>
      </c>
      <c r="C223" s="297">
        <v>0</v>
      </c>
      <c r="D223" s="285">
        <v>0</v>
      </c>
      <c r="E223" s="281">
        <f t="shared" si="21"/>
        <v>0</v>
      </c>
      <c r="F223" s="297"/>
      <c r="G223" s="285">
        <f>24300-24300</f>
        <v>0</v>
      </c>
      <c r="H223" s="285"/>
      <c r="I223" s="284"/>
      <c r="J223" s="284" t="s">
        <v>520</v>
      </c>
      <c r="K223" s="298"/>
    </row>
    <row r="224" spans="1:11" s="225" customFormat="1" x14ac:dyDescent="0.25">
      <c r="A224" s="295"/>
      <c r="B224" s="296" t="s">
        <v>698</v>
      </c>
      <c r="C224" s="297">
        <v>400</v>
      </c>
      <c r="D224" s="285"/>
      <c r="E224" s="281">
        <f t="shared" si="21"/>
        <v>400</v>
      </c>
      <c r="F224" s="297"/>
      <c r="G224" s="285">
        <f>5000-4600</f>
        <v>400</v>
      </c>
      <c r="H224" s="285"/>
      <c r="I224" s="284"/>
      <c r="J224" s="284" t="s">
        <v>520</v>
      </c>
      <c r="K224" s="298"/>
    </row>
    <row r="225" spans="1:11" s="225" customFormat="1" ht="31.5" x14ac:dyDescent="0.25">
      <c r="A225" s="295"/>
      <c r="B225" s="296" t="s">
        <v>699</v>
      </c>
      <c r="C225" s="297">
        <v>1000</v>
      </c>
      <c r="D225" s="285">
        <v>0</v>
      </c>
      <c r="E225" s="281">
        <f t="shared" si="18"/>
        <v>1000</v>
      </c>
      <c r="F225" s="297"/>
      <c r="G225" s="285">
        <f>2000-1000</f>
        <v>1000</v>
      </c>
      <c r="H225" s="285"/>
      <c r="I225" s="284"/>
      <c r="J225" s="284" t="s">
        <v>520</v>
      </c>
      <c r="K225" s="298"/>
    </row>
    <row r="226" spans="1:11" x14ac:dyDescent="0.25">
      <c r="A226" s="272" t="s">
        <v>96</v>
      </c>
      <c r="B226" s="276" t="s">
        <v>68</v>
      </c>
      <c r="C226" s="274">
        <v>4002</v>
      </c>
      <c r="D226" s="274">
        <v>0</v>
      </c>
      <c r="E226" s="274">
        <f t="shared" si="18"/>
        <v>4002</v>
      </c>
      <c r="F226" s="274"/>
      <c r="G226" s="274">
        <f>3500+252+250</f>
        <v>4002</v>
      </c>
      <c r="H226" s="274"/>
      <c r="I226" s="275" t="s">
        <v>520</v>
      </c>
      <c r="J226" s="275"/>
      <c r="K226" s="275"/>
    </row>
    <row r="227" spans="1:11" x14ac:dyDescent="0.25">
      <c r="A227" s="272" t="s">
        <v>97</v>
      </c>
      <c r="B227" s="276" t="s">
        <v>475</v>
      </c>
      <c r="C227" s="274">
        <f>SUM(C228:C232,C233,C234,C235,C236)</f>
        <v>169273</v>
      </c>
      <c r="D227" s="274">
        <f>SUM(D228:D232,D233,D234,D235,D236)</f>
        <v>397</v>
      </c>
      <c r="E227" s="274">
        <f t="shared" si="18"/>
        <v>169670</v>
      </c>
      <c r="F227" s="274">
        <f>SUM(F228:F232,F233,F234,F235,F236)</f>
        <v>11780</v>
      </c>
      <c r="G227" s="274">
        <f>SUM(G228:G232,G233,G234,G235,G236)</f>
        <v>161715</v>
      </c>
      <c r="H227" s="274">
        <f>SUM(H228:H232,H233,H234,H235,H236)</f>
        <v>-3825</v>
      </c>
      <c r="I227" s="275" t="s">
        <v>520</v>
      </c>
      <c r="J227" s="275" t="s">
        <v>520</v>
      </c>
      <c r="K227" s="275"/>
    </row>
    <row r="228" spans="1:11" x14ac:dyDescent="0.25">
      <c r="A228" s="272"/>
      <c r="B228" s="276" t="s">
        <v>617</v>
      </c>
      <c r="C228" s="274">
        <v>350</v>
      </c>
      <c r="D228" s="274">
        <v>0</v>
      </c>
      <c r="E228" s="274">
        <f t="shared" si="18"/>
        <v>350</v>
      </c>
      <c r="F228" s="274">
        <v>350</v>
      </c>
      <c r="G228" s="274">
        <f>5000-5000</f>
        <v>0</v>
      </c>
      <c r="H228" s="274"/>
      <c r="I228" s="275"/>
      <c r="J228" s="275" t="s">
        <v>520</v>
      </c>
      <c r="K228" s="275"/>
    </row>
    <row r="229" spans="1:11" x14ac:dyDescent="0.25">
      <c r="A229" s="272"/>
      <c r="B229" s="276" t="s">
        <v>618</v>
      </c>
      <c r="C229" s="274">
        <v>11850</v>
      </c>
      <c r="D229" s="274">
        <v>0</v>
      </c>
      <c r="E229" s="274">
        <f t="shared" si="18"/>
        <v>11850</v>
      </c>
      <c r="F229" s="274">
        <v>750</v>
      </c>
      <c r="G229" s="274">
        <f>11100</f>
        <v>11100</v>
      </c>
      <c r="H229" s="274"/>
      <c r="I229" s="275"/>
      <c r="J229" s="275" t="s">
        <v>520</v>
      </c>
      <c r="K229" s="275"/>
    </row>
    <row r="230" spans="1:11" x14ac:dyDescent="0.25">
      <c r="A230" s="272"/>
      <c r="B230" s="276" t="s">
        <v>619</v>
      </c>
      <c r="C230" s="274">
        <v>36221</v>
      </c>
      <c r="D230" s="274">
        <v>0</v>
      </c>
      <c r="E230" s="274">
        <f t="shared" si="18"/>
        <v>36221</v>
      </c>
      <c r="F230" s="274">
        <v>10121</v>
      </c>
      <c r="G230" s="274">
        <f>55000-3900-2000-38000+15000</f>
        <v>26100</v>
      </c>
      <c r="H230" s="274"/>
      <c r="I230" s="275" t="s">
        <v>520</v>
      </c>
      <c r="J230" s="275" t="s">
        <v>520</v>
      </c>
      <c r="K230" s="275"/>
    </row>
    <row r="231" spans="1:11" x14ac:dyDescent="0.25">
      <c r="A231" s="272"/>
      <c r="B231" s="276" t="s">
        <v>620</v>
      </c>
      <c r="C231" s="274">
        <v>5000</v>
      </c>
      <c r="D231" s="274">
        <v>0</v>
      </c>
      <c r="E231" s="274">
        <f t="shared" si="18"/>
        <v>5000</v>
      </c>
      <c r="F231" s="274"/>
      <c r="G231" s="274">
        <f>1500-1500+5000</f>
        <v>5000</v>
      </c>
      <c r="H231" s="274"/>
      <c r="I231" s="275"/>
      <c r="J231" s="275" t="s">
        <v>520</v>
      </c>
      <c r="K231" s="275"/>
    </row>
    <row r="232" spans="1:11" x14ac:dyDescent="0.25">
      <c r="A232" s="272"/>
      <c r="B232" s="276" t="s">
        <v>621</v>
      </c>
      <c r="C232" s="274">
        <v>0</v>
      </c>
      <c r="D232" s="274">
        <v>0</v>
      </c>
      <c r="E232" s="274">
        <f t="shared" si="18"/>
        <v>0</v>
      </c>
      <c r="F232" s="274"/>
      <c r="G232" s="274">
        <f>8750-8750</f>
        <v>0</v>
      </c>
      <c r="H232" s="274"/>
      <c r="I232" s="275" t="s">
        <v>520</v>
      </c>
      <c r="J232" s="275" t="s">
        <v>520</v>
      </c>
      <c r="K232" s="275"/>
    </row>
    <row r="233" spans="1:11" x14ac:dyDescent="0.25">
      <c r="A233" s="272"/>
      <c r="B233" s="276" t="s">
        <v>113</v>
      </c>
      <c r="C233" s="274">
        <v>47213</v>
      </c>
      <c r="D233" s="274">
        <f>-70-59+1</f>
        <v>-128</v>
      </c>
      <c r="E233" s="274">
        <f t="shared" si="18"/>
        <v>47085</v>
      </c>
      <c r="F233" s="274">
        <v>5</v>
      </c>
      <c r="G233" s="274">
        <f>85623-25400+1500-10000-600-3920+5-70-59+1</f>
        <v>47080</v>
      </c>
      <c r="H233" s="274"/>
      <c r="I233" s="275" t="s">
        <v>520</v>
      </c>
      <c r="J233" s="275"/>
      <c r="K233" s="275"/>
    </row>
    <row r="234" spans="1:11" x14ac:dyDescent="0.25">
      <c r="A234" s="272"/>
      <c r="B234" s="276" t="s">
        <v>98</v>
      </c>
      <c r="C234" s="274">
        <v>21229</v>
      </c>
      <c r="D234" s="274">
        <v>0</v>
      </c>
      <c r="E234" s="274">
        <f t="shared" si="18"/>
        <v>21229</v>
      </c>
      <c r="F234" s="274">
        <v>554</v>
      </c>
      <c r="G234" s="274">
        <f>30925-5000-5000</f>
        <v>20925</v>
      </c>
      <c r="H234" s="274">
        <v>-250</v>
      </c>
      <c r="I234" s="275"/>
      <c r="J234" s="275" t="s">
        <v>520</v>
      </c>
      <c r="K234" s="275"/>
    </row>
    <row r="235" spans="1:11" x14ac:dyDescent="0.25">
      <c r="A235" s="272"/>
      <c r="B235" s="276" t="s">
        <v>99</v>
      </c>
      <c r="C235" s="274">
        <v>37410</v>
      </c>
      <c r="D235" s="274">
        <f>65+110+200+250-100</f>
        <v>525</v>
      </c>
      <c r="E235" s="274">
        <f t="shared" si="18"/>
        <v>37935</v>
      </c>
      <c r="F235" s="274"/>
      <c r="G235" s="274">
        <f>43035-25-1500</f>
        <v>41510</v>
      </c>
      <c r="H235" s="274">
        <f>-350-3750+65+110+200+250-100</f>
        <v>-3575</v>
      </c>
      <c r="I235" s="275"/>
      <c r="J235" s="275" t="s">
        <v>520</v>
      </c>
      <c r="K235" s="275"/>
    </row>
    <row r="236" spans="1:11" ht="16.5" thickBot="1" x14ac:dyDescent="0.3">
      <c r="A236" s="272"/>
      <c r="B236" s="276" t="s">
        <v>69</v>
      </c>
      <c r="C236" s="274">
        <v>10000</v>
      </c>
      <c r="D236" s="274">
        <v>0</v>
      </c>
      <c r="E236" s="274">
        <f t="shared" si="18"/>
        <v>10000</v>
      </c>
      <c r="F236" s="274"/>
      <c r="G236" s="274">
        <f>25000-15000</f>
        <v>10000</v>
      </c>
      <c r="H236" s="274"/>
      <c r="I236" s="275" t="s">
        <v>520</v>
      </c>
      <c r="J236" s="275"/>
      <c r="K236" s="275"/>
    </row>
    <row r="237" spans="1:11" ht="16.5" thickBot="1" x14ac:dyDescent="0.3">
      <c r="A237" s="301"/>
      <c r="B237" s="302" t="s">
        <v>75</v>
      </c>
      <c r="C237" s="303">
        <f>SUM(C4,C80,C85,C90,C96,C106,C226,C227)</f>
        <v>49356495</v>
      </c>
      <c r="D237" s="303">
        <f>SUM(D4,D80,D85,D90,D96,D106,D226,D227)</f>
        <v>790</v>
      </c>
      <c r="E237" s="303">
        <f t="shared" si="18"/>
        <v>49357285</v>
      </c>
      <c r="F237" s="303">
        <f>SUM(F4,F80,F85,F90,F96,F106,F226,F227)</f>
        <v>545366</v>
      </c>
      <c r="G237" s="303">
        <f>SUM(G4,G80,G85,G90,G96,G106,G226,G227)</f>
        <v>49254144</v>
      </c>
      <c r="H237" s="303">
        <f>SUM(H4,H80,H85,H90,H96,H106,H226,H227)</f>
        <v>-442225</v>
      </c>
      <c r="I237" s="304" t="s">
        <v>133</v>
      </c>
      <c r="J237" s="304" t="s">
        <v>133</v>
      </c>
      <c r="K237" s="304" t="s">
        <v>133</v>
      </c>
    </row>
    <row r="238" spans="1:11" x14ac:dyDescent="0.25">
      <c r="A238" s="301"/>
      <c r="B238" s="551" t="s">
        <v>74</v>
      </c>
      <c r="C238" s="430">
        <v>221850</v>
      </c>
      <c r="D238" s="430">
        <v>0</v>
      </c>
      <c r="E238" s="430">
        <f t="shared" si="18"/>
        <v>221850</v>
      </c>
      <c r="F238" s="430">
        <v>0</v>
      </c>
      <c r="G238" s="430">
        <f>400000+6145-1000-6375-2450-252+25400+800+25+164570-20000-50-420000-51302-45000-485+1+1+400-4-784-12-11-39056-3000+264898-482-635-5000-45-16263-36739-3993-233+4000+55000+2367-26500-423-1000-18660-2000-3</f>
        <v>221850</v>
      </c>
      <c r="H238" s="430"/>
      <c r="I238" s="382"/>
      <c r="J238" s="382" t="s">
        <v>520</v>
      </c>
      <c r="K238" s="382"/>
    </row>
    <row r="239" spans="1:11" x14ac:dyDescent="0.25">
      <c r="A239" s="301"/>
      <c r="B239" s="490" t="s">
        <v>70</v>
      </c>
      <c r="C239" s="427">
        <f>C240+C241+C242+C243+C244+C245+C246+C247+C248+C253</f>
        <v>4194154</v>
      </c>
      <c r="D239" s="427">
        <f>D240+D241+D242+D243+D244+D245+D246+D247+D248+D253</f>
        <v>1511246</v>
      </c>
      <c r="E239" s="427">
        <f t="shared" si="18"/>
        <v>5705400</v>
      </c>
      <c r="F239" s="427">
        <f>SUM(F240:F253)</f>
        <v>0</v>
      </c>
      <c r="G239" s="427">
        <f>SUM(G240:G253)</f>
        <v>5792792</v>
      </c>
      <c r="H239" s="427">
        <f>SUM(H240:H253)</f>
        <v>-87392</v>
      </c>
      <c r="I239" s="381" t="s">
        <v>520</v>
      </c>
      <c r="J239" s="381" t="s">
        <v>520</v>
      </c>
      <c r="K239" s="381"/>
    </row>
    <row r="240" spans="1:11" x14ac:dyDescent="0.25">
      <c r="A240" s="305"/>
      <c r="B240" s="289" t="s">
        <v>124</v>
      </c>
      <c r="C240" s="306">
        <v>3629</v>
      </c>
      <c r="D240" s="306">
        <v>-488</v>
      </c>
      <c r="E240" s="306">
        <f t="shared" si="18"/>
        <v>3141</v>
      </c>
      <c r="F240" s="306"/>
      <c r="G240" s="306">
        <f>4000</f>
        <v>4000</v>
      </c>
      <c r="H240" s="306">
        <f>-244-127-488</f>
        <v>-859</v>
      </c>
      <c r="I240" s="307" t="s">
        <v>520</v>
      </c>
      <c r="J240" s="307"/>
      <c r="K240" s="307"/>
    </row>
    <row r="241" spans="1:11" ht="31.5" x14ac:dyDescent="0.25">
      <c r="A241" s="305"/>
      <c r="B241" s="289" t="s">
        <v>622</v>
      </c>
      <c r="C241" s="306">
        <v>22355</v>
      </c>
      <c r="D241" s="306">
        <v>-4618</v>
      </c>
      <c r="E241" s="306">
        <f t="shared" si="18"/>
        <v>17737</v>
      </c>
      <c r="F241" s="306"/>
      <c r="G241" s="306">
        <v>100000</v>
      </c>
      <c r="H241" s="306">
        <f>-16751-29229-31665-4618</f>
        <v>-82263</v>
      </c>
      <c r="I241" s="307" t="s">
        <v>520</v>
      </c>
      <c r="J241" s="307"/>
      <c r="K241" s="307"/>
    </row>
    <row r="242" spans="1:11" x14ac:dyDescent="0.25">
      <c r="A242" s="305"/>
      <c r="B242" s="289" t="s">
        <v>623</v>
      </c>
      <c r="C242" s="306">
        <v>13445</v>
      </c>
      <c r="D242" s="306">
        <v>-4</v>
      </c>
      <c r="E242" s="306">
        <f t="shared" ref="E242:E254" si="22">SUM(C242:D242)</f>
        <v>13441</v>
      </c>
      <c r="F242" s="306"/>
      <c r="G242" s="306">
        <f>243000-121500+36739</f>
        <v>158239</v>
      </c>
      <c r="H242" s="306">
        <f>-76847-67705-242-4</f>
        <v>-144798</v>
      </c>
      <c r="I242" s="307"/>
      <c r="J242" s="307" t="s">
        <v>520</v>
      </c>
      <c r="K242" s="307"/>
    </row>
    <row r="243" spans="1:11" ht="47.25" x14ac:dyDescent="0.25">
      <c r="A243" s="305"/>
      <c r="B243" s="289" t="s">
        <v>624</v>
      </c>
      <c r="C243" s="306">
        <v>89758</v>
      </c>
      <c r="D243" s="306">
        <f>-7627-26-23207+4</f>
        <v>-30856</v>
      </c>
      <c r="E243" s="306">
        <f t="shared" si="22"/>
        <v>58902</v>
      </c>
      <c r="F243" s="306"/>
      <c r="G243" s="306">
        <f>262178-988-3000-110470+2134+32386</f>
        <v>182240</v>
      </c>
      <c r="H243" s="306">
        <f>-2100-1749-2789-3000-18587-1128-10668-30000-6400-29016-1424-4452-3716-3437+47570+6412-22498-5500-7627-26-23207+4</f>
        <v>-123338</v>
      </c>
      <c r="I243" s="307" t="s">
        <v>520</v>
      </c>
      <c r="J243" s="307"/>
      <c r="K243" s="307"/>
    </row>
    <row r="244" spans="1:11" ht="31.5" x14ac:dyDescent="0.25">
      <c r="A244" s="305"/>
      <c r="B244" s="289" t="s">
        <v>772</v>
      </c>
      <c r="C244" s="306">
        <v>0</v>
      </c>
      <c r="D244" s="306"/>
      <c r="E244" s="306">
        <f t="shared" si="22"/>
        <v>0</v>
      </c>
      <c r="F244" s="306"/>
      <c r="G244" s="306">
        <v>73052</v>
      </c>
      <c r="H244" s="306">
        <f>-12490-60562</f>
        <v>-73052</v>
      </c>
      <c r="I244" s="307" t="s">
        <v>520</v>
      </c>
      <c r="J244" s="307"/>
      <c r="K244" s="307"/>
    </row>
    <row r="245" spans="1:11" ht="31.5" x14ac:dyDescent="0.25">
      <c r="A245" s="305"/>
      <c r="B245" s="289" t="s">
        <v>567</v>
      </c>
      <c r="C245" s="306">
        <v>586</v>
      </c>
      <c r="D245" s="306"/>
      <c r="E245" s="306">
        <f t="shared" si="22"/>
        <v>586</v>
      </c>
      <c r="F245" s="306"/>
      <c r="G245" s="306">
        <v>586</v>
      </c>
      <c r="H245" s="306"/>
      <c r="I245" s="307" t="s">
        <v>520</v>
      </c>
      <c r="J245" s="307"/>
      <c r="K245" s="307"/>
    </row>
    <row r="246" spans="1:11" x14ac:dyDescent="0.25">
      <c r="A246" s="305"/>
      <c r="B246" s="289" t="s">
        <v>625</v>
      </c>
      <c r="C246" s="306">
        <v>0</v>
      </c>
      <c r="D246" s="306"/>
      <c r="E246" s="306">
        <f t="shared" si="22"/>
        <v>0</v>
      </c>
      <c r="F246" s="306"/>
      <c r="G246" s="306">
        <v>0</v>
      </c>
      <c r="H246" s="306"/>
      <c r="I246" s="307" t="s">
        <v>520</v>
      </c>
      <c r="J246" s="307"/>
      <c r="K246" s="307"/>
    </row>
    <row r="247" spans="1:11" x14ac:dyDescent="0.25">
      <c r="A247" s="305" t="s">
        <v>626</v>
      </c>
      <c r="B247" s="289" t="s">
        <v>627</v>
      </c>
      <c r="C247" s="306">
        <v>2000</v>
      </c>
      <c r="D247" s="306"/>
      <c r="E247" s="306">
        <f t="shared" si="22"/>
        <v>2000</v>
      </c>
      <c r="F247" s="306"/>
      <c r="G247" s="306">
        <f>4000+2000</f>
        <v>6000</v>
      </c>
      <c r="H247" s="306">
        <v>-4000</v>
      </c>
      <c r="I247" s="307" t="s">
        <v>520</v>
      </c>
      <c r="J247" s="307"/>
      <c r="K247" s="307"/>
    </row>
    <row r="248" spans="1:11" x14ac:dyDescent="0.25">
      <c r="A248" s="305"/>
      <c r="B248" s="289" t="s">
        <v>628</v>
      </c>
      <c r="C248" s="306">
        <v>0</v>
      </c>
      <c r="D248" s="306">
        <v>0</v>
      </c>
      <c r="E248" s="306">
        <f t="shared" si="22"/>
        <v>0</v>
      </c>
      <c r="F248" s="306"/>
      <c r="G248" s="306">
        <f>50000-50000</f>
        <v>0</v>
      </c>
      <c r="H248" s="306"/>
      <c r="I248" s="307" t="s">
        <v>520</v>
      </c>
      <c r="J248" s="307"/>
      <c r="K248" s="307"/>
    </row>
    <row r="249" spans="1:11" x14ac:dyDescent="0.25">
      <c r="A249" s="305"/>
      <c r="B249" s="289" t="s">
        <v>669</v>
      </c>
      <c r="C249" s="306"/>
      <c r="D249" s="306">
        <f>80076-80076+169953-169953-396+396</f>
        <v>0</v>
      </c>
      <c r="E249" s="306">
        <f t="shared" si="22"/>
        <v>0</v>
      </c>
      <c r="F249" s="306"/>
      <c r="G249" s="306">
        <f>80076+169953-396</f>
        <v>249633</v>
      </c>
      <c r="H249" s="306">
        <f>-80076-169953+396</f>
        <v>-249633</v>
      </c>
      <c r="I249" s="307" t="s">
        <v>520</v>
      </c>
      <c r="J249" s="307"/>
      <c r="K249" s="307"/>
    </row>
    <row r="250" spans="1:11" ht="31.5" x14ac:dyDescent="0.25">
      <c r="A250" s="305"/>
      <c r="B250" s="289" t="s">
        <v>670</v>
      </c>
      <c r="C250" s="306"/>
      <c r="D250" s="306">
        <f>3542-3542+4984-4984+1601-1601</f>
        <v>0</v>
      </c>
      <c r="E250" s="306">
        <f t="shared" si="22"/>
        <v>0</v>
      </c>
      <c r="F250" s="306"/>
      <c r="G250" s="306">
        <f>3542+4984+1601</f>
        <v>10127</v>
      </c>
      <c r="H250" s="306">
        <f>-3542-4984-1601</f>
        <v>-10127</v>
      </c>
      <c r="I250" s="307" t="s">
        <v>520</v>
      </c>
      <c r="J250" s="307"/>
      <c r="K250" s="307"/>
    </row>
    <row r="251" spans="1:11" x14ac:dyDescent="0.25">
      <c r="A251" s="305"/>
      <c r="B251" s="289" t="s">
        <v>1032</v>
      </c>
      <c r="C251" s="306"/>
      <c r="D251" s="306">
        <f>33576-33576+65028-65028</f>
        <v>0</v>
      </c>
      <c r="E251" s="306">
        <f t="shared" si="22"/>
        <v>0</v>
      </c>
      <c r="F251" s="306"/>
      <c r="G251" s="306">
        <f>33576+65028</f>
        <v>98604</v>
      </c>
      <c r="H251" s="306">
        <f>-33576-65028</f>
        <v>-98604</v>
      </c>
      <c r="I251" s="307" t="s">
        <v>520</v>
      </c>
      <c r="J251" s="307" t="s">
        <v>520</v>
      </c>
      <c r="K251" s="307"/>
    </row>
    <row r="252" spans="1:11" x14ac:dyDescent="0.25">
      <c r="A252" s="305"/>
      <c r="B252" s="289" t="s">
        <v>671</v>
      </c>
      <c r="C252" s="306"/>
      <c r="D252" s="306">
        <f>3680-3680+4969-4969-87+87</f>
        <v>0</v>
      </c>
      <c r="E252" s="306">
        <f t="shared" si="22"/>
        <v>0</v>
      </c>
      <c r="F252" s="306"/>
      <c r="G252" s="306">
        <f>3680+4969-87</f>
        <v>8562</v>
      </c>
      <c r="H252" s="306">
        <f>-3680-4969+87</f>
        <v>-8562</v>
      </c>
      <c r="I252" s="307" t="s">
        <v>520</v>
      </c>
      <c r="J252" s="307" t="s">
        <v>520</v>
      </c>
      <c r="K252" s="307"/>
    </row>
    <row r="253" spans="1:11" ht="32.25" thickBot="1" x14ac:dyDescent="0.3">
      <c r="A253" s="305"/>
      <c r="B253" s="289" t="s">
        <v>926</v>
      </c>
      <c r="C253" s="306">
        <v>4062381</v>
      </c>
      <c r="D253" s="306">
        <f>42344+5093+67864-100-91-93+862+1+1+1000+1-12-11992+1301231+50+1970-292+540+25+1-10466-48590-5897+8+102+4282-19845-2582+7642+46+3992+20455+7+5687+19810+385+3055+1566+5280+6344+3952+495+1273+2-124042+265848</f>
        <v>1547212</v>
      </c>
      <c r="E253" s="306">
        <f t="shared" si="22"/>
        <v>5609593</v>
      </c>
      <c r="F253" s="306"/>
      <c r="G253" s="306">
        <f>2500000-1500000+1751834+900+5603+86334+419837+100000+66046+5000+29311+23655+500+77390+135000+500+42040+72931+117000+35000+58000+41150+483+99851-25400+525000+200000+1500000+100000+200000-6000000+587500+14062+2210+10000+4000+50000-300000-10900+121500+135000+48591-18000+47396+20000-264898+605287+24300+4420-225739+64873-12000-3953-116134-7500-5000-3240-143082-19685+100000+11355-89801-36697+2619+41835+22000-42000+31802-60000-30000+2494-1287+130+1402195+2384-2700+36000+630+170+1120+855+15386-119649-1780+8212+765-312+28558+20701+9804-42714+19390+3693+110470-140000+19400-843705-13570-2832-68063-1-1740-69000-17268-4367-8678-1844+30000+250500+71521+155961+218221+57404+9895+6625+1378+8000+156692+190+2152+14682+346+293896+22798-4758-11000-4000+8902+300000-72900+10668+250000+2556+19995-15870-250+42344+5093+67864-100-91-93+862+1+1+1000+1-12-11992+1301231+50+1970-292+540+25+1-64953+8+102+4282-19845-2582+7642+46+3992+20455+7+5687+19810+385+3055+1566+5280+6344+3952+495+1273+2-124042+265848</f>
        <v>4901749</v>
      </c>
      <c r="H253" s="306">
        <f>-500000-500000+600000+500000+120000-135000-48591-12451+51242+31034+141586+300000+114754+23000+22008+262</f>
        <v>707844</v>
      </c>
      <c r="I253" s="307" t="s">
        <v>520</v>
      </c>
      <c r="J253" s="307"/>
      <c r="K253" s="307"/>
    </row>
    <row r="254" spans="1:11" ht="16.5" thickBot="1" x14ac:dyDescent="0.3">
      <c r="A254" s="308"/>
      <c r="B254" s="302" t="s">
        <v>71</v>
      </c>
      <c r="C254" s="309">
        <f>SUM(C237:C239)</f>
        <v>53772499</v>
      </c>
      <c r="D254" s="309">
        <f>SUM(D237:D239)</f>
        <v>1512036</v>
      </c>
      <c r="E254" s="309">
        <f t="shared" si="22"/>
        <v>55284535</v>
      </c>
      <c r="F254" s="309">
        <f>SUM(F237:F239)</f>
        <v>545366</v>
      </c>
      <c r="G254" s="309">
        <f>SUM(G237:G239)</f>
        <v>55268786</v>
      </c>
      <c r="H254" s="309">
        <f>SUM(H237:H239)</f>
        <v>-529617</v>
      </c>
      <c r="I254" s="310" t="s">
        <v>133</v>
      </c>
      <c r="J254" s="310" t="s">
        <v>133</v>
      </c>
      <c r="K254" s="310" t="s">
        <v>133</v>
      </c>
    </row>
    <row r="255" spans="1:11" hidden="1" x14ac:dyDescent="0.25">
      <c r="D255" s="431"/>
      <c r="H255" s="431"/>
    </row>
    <row r="256" spans="1:11" hidden="1" x14ac:dyDescent="0.25">
      <c r="H256" s="557">
        <f>SUM(F254:H254)</f>
        <v>55284535</v>
      </c>
    </row>
    <row r="257" spans="3:11" hidden="1" x14ac:dyDescent="0.25">
      <c r="C257" s="424"/>
      <c r="E257" s="431"/>
      <c r="I257" s="383"/>
      <c r="J257" s="383"/>
      <c r="K257" s="383"/>
    </row>
    <row r="258" spans="3:11" hidden="1" x14ac:dyDescent="0.25">
      <c r="C258" s="424"/>
      <c r="E258" s="431"/>
      <c r="H258" s="431">
        <f>+E254-'10 ök kiadás'!P164</f>
        <v>0</v>
      </c>
      <c r="I258" s="560" t="s">
        <v>1040</v>
      </c>
    </row>
    <row r="259" spans="3:11" hidden="1" x14ac:dyDescent="0.25">
      <c r="C259" s="424"/>
    </row>
    <row r="260" spans="3:11" hidden="1" x14ac:dyDescent="0.25">
      <c r="H260" s="431">
        <f>+F254+G254+H254</f>
        <v>55284535</v>
      </c>
    </row>
    <row r="261" spans="3:11" hidden="1" x14ac:dyDescent="0.25">
      <c r="C261" s="424"/>
      <c r="D261" s="431"/>
      <c r="E261" s="431">
        <f>+'10 ök kiadás'!P164</f>
        <v>55284535</v>
      </c>
      <c r="F261" s="585" t="s">
        <v>1049</v>
      </c>
      <c r="G261" s="431"/>
      <c r="H261" s="431">
        <f>+E254-H260</f>
        <v>0</v>
      </c>
      <c r="I261" s="383"/>
      <c r="J261" s="383"/>
      <c r="K261" s="383"/>
    </row>
    <row r="262" spans="3:11" hidden="1" x14ac:dyDescent="0.25">
      <c r="E262" s="431">
        <f>+E254-E261</f>
        <v>0</v>
      </c>
    </row>
  </sheetData>
  <mergeCells count="1">
    <mergeCell ref="A1:K1"/>
  </mergeCells>
  <printOptions horizontalCentered="1"/>
  <pageMargins left="0.19685039370078741" right="0.27559055118110237" top="0.9055118110236221" bottom="0.62992125984251968" header="0.15748031496062992" footer="0.15748031496062992"/>
  <pageSetup paperSize="9" scale="50" orientation="portrait" r:id="rId1"/>
  <headerFooter alignWithMargins="0">
    <oddHeader>&amp;R&amp;"Times New Roman CE,Félkövér" 10. melléklet a 12/2021.(II.25.) önkormányzati rendelethez
&amp;"Times New Roman CE,Dőlt" 11. melléklet
  az 5/2020.(II.17.) önkormányzati rendelethez</oddHeader>
  </headerFooter>
  <rowBreaks count="1" manualBreakCount="1">
    <brk id="74" max="10"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H103"/>
  <sheetViews>
    <sheetView zoomScale="85" zoomScaleNormal="85" workbookViewId="0">
      <pane xSplit="1" ySplit="3" topLeftCell="B4" activePane="bottomRight" state="frozen"/>
      <selection activeCell="F12" sqref="F12"/>
      <selection pane="topRight" activeCell="F12" sqref="F12"/>
      <selection pane="bottomLeft" activeCell="F12" sqref="F12"/>
      <selection pane="bottomRight" activeCell="F12" sqref="F12"/>
    </sheetView>
  </sheetViews>
  <sheetFormatPr defaultRowHeight="15.75" x14ac:dyDescent="0.25"/>
  <cols>
    <col min="1" max="1" width="72.875" style="228" customWidth="1"/>
    <col min="2" max="4" width="21" style="233" customWidth="1"/>
    <col min="5" max="5" width="8.625" style="498" customWidth="1"/>
    <col min="6" max="6" width="8" style="498" customWidth="1"/>
    <col min="7" max="7" width="9.25" style="498" customWidth="1"/>
    <col min="8" max="9" width="8.75" style="228" customWidth="1"/>
    <col min="10" max="248" width="9" style="228"/>
    <col min="249" max="249" width="56" style="228" bestFit="1" customWidth="1"/>
    <col min="250" max="250" width="25.5" style="228" customWidth="1"/>
    <col min="251" max="251" width="13.25" style="228" customWidth="1"/>
    <col min="252" max="252" width="49.75" style="228" customWidth="1"/>
    <col min="253" max="504" width="9" style="228"/>
    <col min="505" max="505" width="56" style="228" bestFit="1" customWidth="1"/>
    <col min="506" max="506" width="25.5" style="228" customWidth="1"/>
    <col min="507" max="507" width="13.25" style="228" customWidth="1"/>
    <col min="508" max="508" width="49.75" style="228" customWidth="1"/>
    <col min="509" max="760" width="9" style="228"/>
    <col min="761" max="761" width="56" style="228" bestFit="1" customWidth="1"/>
    <col min="762" max="762" width="25.5" style="228" customWidth="1"/>
    <col min="763" max="763" width="13.25" style="228" customWidth="1"/>
    <col min="764" max="764" width="49.75" style="228" customWidth="1"/>
    <col min="765" max="1016" width="9" style="228"/>
    <col min="1017" max="1017" width="56" style="228" bestFit="1" customWidth="1"/>
    <col min="1018" max="1018" width="25.5" style="228" customWidth="1"/>
    <col min="1019" max="1019" width="13.25" style="228" customWidth="1"/>
    <col min="1020" max="1020" width="49.75" style="228" customWidth="1"/>
    <col min="1021" max="1272" width="9" style="228"/>
    <col min="1273" max="1273" width="56" style="228" bestFit="1" customWidth="1"/>
    <col min="1274" max="1274" width="25.5" style="228" customWidth="1"/>
    <col min="1275" max="1275" width="13.25" style="228" customWidth="1"/>
    <col min="1276" max="1276" width="49.75" style="228" customWidth="1"/>
    <col min="1277" max="1528" width="9" style="228"/>
    <col min="1529" max="1529" width="56" style="228" bestFit="1" customWidth="1"/>
    <col min="1530" max="1530" width="25.5" style="228" customWidth="1"/>
    <col min="1531" max="1531" width="13.25" style="228" customWidth="1"/>
    <col min="1532" max="1532" width="49.75" style="228" customWidth="1"/>
    <col min="1533" max="1784" width="9" style="228"/>
    <col min="1785" max="1785" width="56" style="228" bestFit="1" customWidth="1"/>
    <col min="1786" max="1786" width="25.5" style="228" customWidth="1"/>
    <col min="1787" max="1787" width="13.25" style="228" customWidth="1"/>
    <col min="1788" max="1788" width="49.75" style="228" customWidth="1"/>
    <col min="1789" max="2040" width="9" style="228"/>
    <col min="2041" max="2041" width="56" style="228" bestFit="1" customWidth="1"/>
    <col min="2042" max="2042" width="25.5" style="228" customWidth="1"/>
    <col min="2043" max="2043" width="13.25" style="228" customWidth="1"/>
    <col min="2044" max="2044" width="49.75" style="228" customWidth="1"/>
    <col min="2045" max="2296" width="9" style="228"/>
    <col min="2297" max="2297" width="56" style="228" bestFit="1" customWidth="1"/>
    <col min="2298" max="2298" width="25.5" style="228" customWidth="1"/>
    <col min="2299" max="2299" width="13.25" style="228" customWidth="1"/>
    <col min="2300" max="2300" width="49.75" style="228" customWidth="1"/>
    <col min="2301" max="2552" width="9" style="228"/>
    <col min="2553" max="2553" width="56" style="228" bestFit="1" customWidth="1"/>
    <col min="2554" max="2554" width="25.5" style="228" customWidth="1"/>
    <col min="2555" max="2555" width="13.25" style="228" customWidth="1"/>
    <col min="2556" max="2556" width="49.75" style="228" customWidth="1"/>
    <col min="2557" max="2808" width="9" style="228"/>
    <col min="2809" max="2809" width="56" style="228" bestFit="1" customWidth="1"/>
    <col min="2810" max="2810" width="25.5" style="228" customWidth="1"/>
    <col min="2811" max="2811" width="13.25" style="228" customWidth="1"/>
    <col min="2812" max="2812" width="49.75" style="228" customWidth="1"/>
    <col min="2813" max="3064" width="9" style="228"/>
    <col min="3065" max="3065" width="56" style="228" bestFit="1" customWidth="1"/>
    <col min="3066" max="3066" width="25.5" style="228" customWidth="1"/>
    <col min="3067" max="3067" width="13.25" style="228" customWidth="1"/>
    <col min="3068" max="3068" width="49.75" style="228" customWidth="1"/>
    <col min="3069" max="3320" width="9" style="228"/>
    <col min="3321" max="3321" width="56" style="228" bestFit="1" customWidth="1"/>
    <col min="3322" max="3322" width="25.5" style="228" customWidth="1"/>
    <col min="3323" max="3323" width="13.25" style="228" customWidth="1"/>
    <col min="3324" max="3324" width="49.75" style="228" customWidth="1"/>
    <col min="3325" max="3576" width="9" style="228"/>
    <col min="3577" max="3577" width="56" style="228" bestFit="1" customWidth="1"/>
    <col min="3578" max="3578" width="25.5" style="228" customWidth="1"/>
    <col min="3579" max="3579" width="13.25" style="228" customWidth="1"/>
    <col min="3580" max="3580" width="49.75" style="228" customWidth="1"/>
    <col min="3581" max="3832" width="9" style="228"/>
    <col min="3833" max="3833" width="56" style="228" bestFit="1" customWidth="1"/>
    <col min="3834" max="3834" width="25.5" style="228" customWidth="1"/>
    <col min="3835" max="3835" width="13.25" style="228" customWidth="1"/>
    <col min="3836" max="3836" width="49.75" style="228" customWidth="1"/>
    <col min="3837" max="4088" width="9" style="228"/>
    <col min="4089" max="4089" width="56" style="228" bestFit="1" customWidth="1"/>
    <col min="4090" max="4090" width="25.5" style="228" customWidth="1"/>
    <col min="4091" max="4091" width="13.25" style="228" customWidth="1"/>
    <col min="4092" max="4092" width="49.75" style="228" customWidth="1"/>
    <col min="4093" max="4344" width="9" style="228"/>
    <col min="4345" max="4345" width="56" style="228" bestFit="1" customWidth="1"/>
    <col min="4346" max="4346" width="25.5" style="228" customWidth="1"/>
    <col min="4347" max="4347" width="13.25" style="228" customWidth="1"/>
    <col min="4348" max="4348" width="49.75" style="228" customWidth="1"/>
    <col min="4349" max="4600" width="9" style="228"/>
    <col min="4601" max="4601" width="56" style="228" bestFit="1" customWidth="1"/>
    <col min="4602" max="4602" width="25.5" style="228" customWidth="1"/>
    <col min="4603" max="4603" width="13.25" style="228" customWidth="1"/>
    <col min="4604" max="4604" width="49.75" style="228" customWidth="1"/>
    <col min="4605" max="4856" width="9" style="228"/>
    <col min="4857" max="4857" width="56" style="228" bestFit="1" customWidth="1"/>
    <col min="4858" max="4858" width="25.5" style="228" customWidth="1"/>
    <col min="4859" max="4859" width="13.25" style="228" customWidth="1"/>
    <col min="4860" max="4860" width="49.75" style="228" customWidth="1"/>
    <col min="4861" max="5112" width="9" style="228"/>
    <col min="5113" max="5113" width="56" style="228" bestFit="1" customWidth="1"/>
    <col min="5114" max="5114" width="25.5" style="228" customWidth="1"/>
    <col min="5115" max="5115" width="13.25" style="228" customWidth="1"/>
    <col min="5116" max="5116" width="49.75" style="228" customWidth="1"/>
    <col min="5117" max="5368" width="9" style="228"/>
    <col min="5369" max="5369" width="56" style="228" bestFit="1" customWidth="1"/>
    <col min="5370" max="5370" width="25.5" style="228" customWidth="1"/>
    <col min="5371" max="5371" width="13.25" style="228" customWidth="1"/>
    <col min="5372" max="5372" width="49.75" style="228" customWidth="1"/>
    <col min="5373" max="5624" width="9" style="228"/>
    <col min="5625" max="5625" width="56" style="228" bestFit="1" customWidth="1"/>
    <col min="5626" max="5626" width="25.5" style="228" customWidth="1"/>
    <col min="5627" max="5627" width="13.25" style="228" customWidth="1"/>
    <col min="5628" max="5628" width="49.75" style="228" customWidth="1"/>
    <col min="5629" max="5880" width="9" style="228"/>
    <col min="5881" max="5881" width="56" style="228" bestFit="1" customWidth="1"/>
    <col min="5882" max="5882" width="25.5" style="228" customWidth="1"/>
    <col min="5883" max="5883" width="13.25" style="228" customWidth="1"/>
    <col min="5884" max="5884" width="49.75" style="228" customWidth="1"/>
    <col min="5885" max="6136" width="9" style="228"/>
    <col min="6137" max="6137" width="56" style="228" bestFit="1" customWidth="1"/>
    <col min="6138" max="6138" width="25.5" style="228" customWidth="1"/>
    <col min="6139" max="6139" width="13.25" style="228" customWidth="1"/>
    <col min="6140" max="6140" width="49.75" style="228" customWidth="1"/>
    <col min="6141" max="6392" width="9" style="228"/>
    <col min="6393" max="6393" width="56" style="228" bestFit="1" customWidth="1"/>
    <col min="6394" max="6394" width="25.5" style="228" customWidth="1"/>
    <col min="6395" max="6395" width="13.25" style="228" customWidth="1"/>
    <col min="6396" max="6396" width="49.75" style="228" customWidth="1"/>
    <col min="6397" max="6648" width="9" style="228"/>
    <col min="6649" max="6649" width="56" style="228" bestFit="1" customWidth="1"/>
    <col min="6650" max="6650" width="25.5" style="228" customWidth="1"/>
    <col min="6651" max="6651" width="13.25" style="228" customWidth="1"/>
    <col min="6652" max="6652" width="49.75" style="228" customWidth="1"/>
    <col min="6653" max="6904" width="9" style="228"/>
    <col min="6905" max="6905" width="56" style="228" bestFit="1" customWidth="1"/>
    <col min="6906" max="6906" width="25.5" style="228" customWidth="1"/>
    <col min="6907" max="6907" width="13.25" style="228" customWidth="1"/>
    <col min="6908" max="6908" width="49.75" style="228" customWidth="1"/>
    <col min="6909" max="7160" width="9" style="228"/>
    <col min="7161" max="7161" width="56" style="228" bestFit="1" customWidth="1"/>
    <col min="7162" max="7162" width="25.5" style="228" customWidth="1"/>
    <col min="7163" max="7163" width="13.25" style="228" customWidth="1"/>
    <col min="7164" max="7164" width="49.75" style="228" customWidth="1"/>
    <col min="7165" max="7416" width="9" style="228"/>
    <col min="7417" max="7417" width="56" style="228" bestFit="1" customWidth="1"/>
    <col min="7418" max="7418" width="25.5" style="228" customWidth="1"/>
    <col min="7419" max="7419" width="13.25" style="228" customWidth="1"/>
    <col min="7420" max="7420" width="49.75" style="228" customWidth="1"/>
    <col min="7421" max="7672" width="9" style="228"/>
    <col min="7673" max="7673" width="56" style="228" bestFit="1" customWidth="1"/>
    <col min="7674" max="7674" width="25.5" style="228" customWidth="1"/>
    <col min="7675" max="7675" width="13.25" style="228" customWidth="1"/>
    <col min="7676" max="7676" width="49.75" style="228" customWidth="1"/>
    <col min="7677" max="7928" width="9" style="228"/>
    <col min="7929" max="7929" width="56" style="228" bestFit="1" customWidth="1"/>
    <col min="7930" max="7930" width="25.5" style="228" customWidth="1"/>
    <col min="7931" max="7931" width="13.25" style="228" customWidth="1"/>
    <col min="7932" max="7932" width="49.75" style="228" customWidth="1"/>
    <col min="7933" max="8184" width="9" style="228"/>
    <col min="8185" max="8185" width="56" style="228" bestFit="1" customWidth="1"/>
    <col min="8186" max="8186" width="25.5" style="228" customWidth="1"/>
    <col min="8187" max="8187" width="13.25" style="228" customWidth="1"/>
    <col min="8188" max="8188" width="49.75" style="228" customWidth="1"/>
    <col min="8189" max="8440" width="9" style="228"/>
    <col min="8441" max="8441" width="56" style="228" bestFit="1" customWidth="1"/>
    <col min="8442" max="8442" width="25.5" style="228" customWidth="1"/>
    <col min="8443" max="8443" width="13.25" style="228" customWidth="1"/>
    <col min="8444" max="8444" width="49.75" style="228" customWidth="1"/>
    <col min="8445" max="8696" width="9" style="228"/>
    <col min="8697" max="8697" width="56" style="228" bestFit="1" customWidth="1"/>
    <col min="8698" max="8698" width="25.5" style="228" customWidth="1"/>
    <col min="8699" max="8699" width="13.25" style="228" customWidth="1"/>
    <col min="8700" max="8700" width="49.75" style="228" customWidth="1"/>
    <col min="8701" max="8952" width="9" style="228"/>
    <col min="8953" max="8953" width="56" style="228" bestFit="1" customWidth="1"/>
    <col min="8954" max="8954" width="25.5" style="228" customWidth="1"/>
    <col min="8955" max="8955" width="13.25" style="228" customWidth="1"/>
    <col min="8956" max="8956" width="49.75" style="228" customWidth="1"/>
    <col min="8957" max="9208" width="9" style="228"/>
    <col min="9209" max="9209" width="56" style="228" bestFit="1" customWidth="1"/>
    <col min="9210" max="9210" width="25.5" style="228" customWidth="1"/>
    <col min="9211" max="9211" width="13.25" style="228" customWidth="1"/>
    <col min="9212" max="9212" width="49.75" style="228" customWidth="1"/>
    <col min="9213" max="9464" width="9" style="228"/>
    <col min="9465" max="9465" width="56" style="228" bestFit="1" customWidth="1"/>
    <col min="9466" max="9466" width="25.5" style="228" customWidth="1"/>
    <col min="9467" max="9467" width="13.25" style="228" customWidth="1"/>
    <col min="9468" max="9468" width="49.75" style="228" customWidth="1"/>
    <col min="9469" max="9720" width="9" style="228"/>
    <col min="9721" max="9721" width="56" style="228" bestFit="1" customWidth="1"/>
    <col min="9722" max="9722" width="25.5" style="228" customWidth="1"/>
    <col min="9723" max="9723" width="13.25" style="228" customWidth="1"/>
    <col min="9724" max="9724" width="49.75" style="228" customWidth="1"/>
    <col min="9725" max="9976" width="9" style="228"/>
    <col min="9977" max="9977" width="56" style="228" bestFit="1" customWidth="1"/>
    <col min="9978" max="9978" width="25.5" style="228" customWidth="1"/>
    <col min="9979" max="9979" width="13.25" style="228" customWidth="1"/>
    <col min="9980" max="9980" width="49.75" style="228" customWidth="1"/>
    <col min="9981" max="10232" width="9" style="228"/>
    <col min="10233" max="10233" width="56" style="228" bestFit="1" customWidth="1"/>
    <col min="10234" max="10234" width="25.5" style="228" customWidth="1"/>
    <col min="10235" max="10235" width="13.25" style="228" customWidth="1"/>
    <col min="10236" max="10236" width="49.75" style="228" customWidth="1"/>
    <col min="10237" max="10488" width="9" style="228"/>
    <col min="10489" max="10489" width="56" style="228" bestFit="1" customWidth="1"/>
    <col min="10490" max="10490" width="25.5" style="228" customWidth="1"/>
    <col min="10491" max="10491" width="13.25" style="228" customWidth="1"/>
    <col min="10492" max="10492" width="49.75" style="228" customWidth="1"/>
    <col min="10493" max="10744" width="9" style="228"/>
    <col min="10745" max="10745" width="56" style="228" bestFit="1" customWidth="1"/>
    <col min="10746" max="10746" width="25.5" style="228" customWidth="1"/>
    <col min="10747" max="10747" width="13.25" style="228" customWidth="1"/>
    <col min="10748" max="10748" width="49.75" style="228" customWidth="1"/>
    <col min="10749" max="11000" width="9" style="228"/>
    <col min="11001" max="11001" width="56" style="228" bestFit="1" customWidth="1"/>
    <col min="11002" max="11002" width="25.5" style="228" customWidth="1"/>
    <col min="11003" max="11003" width="13.25" style="228" customWidth="1"/>
    <col min="11004" max="11004" width="49.75" style="228" customWidth="1"/>
    <col min="11005" max="11256" width="9" style="228"/>
    <col min="11257" max="11257" width="56" style="228" bestFit="1" customWidth="1"/>
    <col min="11258" max="11258" width="25.5" style="228" customWidth="1"/>
    <col min="11259" max="11259" width="13.25" style="228" customWidth="1"/>
    <col min="11260" max="11260" width="49.75" style="228" customWidth="1"/>
    <col min="11261" max="11512" width="9" style="228"/>
    <col min="11513" max="11513" width="56" style="228" bestFit="1" customWidth="1"/>
    <col min="11514" max="11514" width="25.5" style="228" customWidth="1"/>
    <col min="11515" max="11515" width="13.25" style="228" customWidth="1"/>
    <col min="11516" max="11516" width="49.75" style="228" customWidth="1"/>
    <col min="11517" max="11768" width="9" style="228"/>
    <col min="11769" max="11769" width="56" style="228" bestFit="1" customWidth="1"/>
    <col min="11770" max="11770" width="25.5" style="228" customWidth="1"/>
    <col min="11771" max="11771" width="13.25" style="228" customWidth="1"/>
    <col min="11772" max="11772" width="49.75" style="228" customWidth="1"/>
    <col min="11773" max="12024" width="9" style="228"/>
    <col min="12025" max="12025" width="56" style="228" bestFit="1" customWidth="1"/>
    <col min="12026" max="12026" width="25.5" style="228" customWidth="1"/>
    <col min="12027" max="12027" width="13.25" style="228" customWidth="1"/>
    <col min="12028" max="12028" width="49.75" style="228" customWidth="1"/>
    <col min="12029" max="12280" width="9" style="228"/>
    <col min="12281" max="12281" width="56" style="228" bestFit="1" customWidth="1"/>
    <col min="12282" max="12282" width="25.5" style="228" customWidth="1"/>
    <col min="12283" max="12283" width="13.25" style="228" customWidth="1"/>
    <col min="12284" max="12284" width="49.75" style="228" customWidth="1"/>
    <col min="12285" max="12536" width="9" style="228"/>
    <col min="12537" max="12537" width="56" style="228" bestFit="1" customWidth="1"/>
    <col min="12538" max="12538" width="25.5" style="228" customWidth="1"/>
    <col min="12539" max="12539" width="13.25" style="228" customWidth="1"/>
    <col min="12540" max="12540" width="49.75" style="228" customWidth="1"/>
    <col min="12541" max="12792" width="9" style="228"/>
    <col min="12793" max="12793" width="56" style="228" bestFit="1" customWidth="1"/>
    <col min="12794" max="12794" width="25.5" style="228" customWidth="1"/>
    <col min="12795" max="12795" width="13.25" style="228" customWidth="1"/>
    <col min="12796" max="12796" width="49.75" style="228" customWidth="1"/>
    <col min="12797" max="13048" width="9" style="228"/>
    <col min="13049" max="13049" width="56" style="228" bestFit="1" customWidth="1"/>
    <col min="13050" max="13050" width="25.5" style="228" customWidth="1"/>
    <col min="13051" max="13051" width="13.25" style="228" customWidth="1"/>
    <col min="13052" max="13052" width="49.75" style="228" customWidth="1"/>
    <col min="13053" max="13304" width="9" style="228"/>
    <col min="13305" max="13305" width="56" style="228" bestFit="1" customWidth="1"/>
    <col min="13306" max="13306" width="25.5" style="228" customWidth="1"/>
    <col min="13307" max="13307" width="13.25" style="228" customWidth="1"/>
    <col min="13308" max="13308" width="49.75" style="228" customWidth="1"/>
    <col min="13309" max="13560" width="9" style="228"/>
    <col min="13561" max="13561" width="56" style="228" bestFit="1" customWidth="1"/>
    <col min="13562" max="13562" width="25.5" style="228" customWidth="1"/>
    <col min="13563" max="13563" width="13.25" style="228" customWidth="1"/>
    <col min="13564" max="13564" width="49.75" style="228" customWidth="1"/>
    <col min="13565" max="13816" width="9" style="228"/>
    <col min="13817" max="13817" width="56" style="228" bestFit="1" customWidth="1"/>
    <col min="13818" max="13818" width="25.5" style="228" customWidth="1"/>
    <col min="13819" max="13819" width="13.25" style="228" customWidth="1"/>
    <col min="13820" max="13820" width="49.75" style="228" customWidth="1"/>
    <col min="13821" max="14072" width="9" style="228"/>
    <col min="14073" max="14073" width="56" style="228" bestFit="1" customWidth="1"/>
    <col min="14074" max="14074" width="25.5" style="228" customWidth="1"/>
    <col min="14075" max="14075" width="13.25" style="228" customWidth="1"/>
    <col min="14076" max="14076" width="49.75" style="228" customWidth="1"/>
    <col min="14077" max="14328" width="9" style="228"/>
    <col min="14329" max="14329" width="56" style="228" bestFit="1" customWidth="1"/>
    <col min="14330" max="14330" width="25.5" style="228" customWidth="1"/>
    <col min="14331" max="14331" width="13.25" style="228" customWidth="1"/>
    <col min="14332" max="14332" width="49.75" style="228" customWidth="1"/>
    <col min="14333" max="14584" width="9" style="228"/>
    <col min="14585" max="14585" width="56" style="228" bestFit="1" customWidth="1"/>
    <col min="14586" max="14586" width="25.5" style="228" customWidth="1"/>
    <col min="14587" max="14587" width="13.25" style="228" customWidth="1"/>
    <col min="14588" max="14588" width="49.75" style="228" customWidth="1"/>
    <col min="14589" max="14840" width="9" style="228"/>
    <col min="14841" max="14841" width="56" style="228" bestFit="1" customWidth="1"/>
    <col min="14842" max="14842" width="25.5" style="228" customWidth="1"/>
    <col min="14843" max="14843" width="13.25" style="228" customWidth="1"/>
    <col min="14844" max="14844" width="49.75" style="228" customWidth="1"/>
    <col min="14845" max="15096" width="9" style="228"/>
    <col min="15097" max="15097" width="56" style="228" bestFit="1" customWidth="1"/>
    <col min="15098" max="15098" width="25.5" style="228" customWidth="1"/>
    <col min="15099" max="15099" width="13.25" style="228" customWidth="1"/>
    <col min="15100" max="15100" width="49.75" style="228" customWidth="1"/>
    <col min="15101" max="15352" width="9" style="228"/>
    <col min="15353" max="15353" width="56" style="228" bestFit="1" customWidth="1"/>
    <col min="15354" max="15354" width="25.5" style="228" customWidth="1"/>
    <col min="15355" max="15355" width="13.25" style="228" customWidth="1"/>
    <col min="15356" max="15356" width="49.75" style="228" customWidth="1"/>
    <col min="15357" max="15608" width="9" style="228"/>
    <col min="15609" max="15609" width="56" style="228" bestFit="1" customWidth="1"/>
    <col min="15610" max="15610" width="25.5" style="228" customWidth="1"/>
    <col min="15611" max="15611" width="13.25" style="228" customWidth="1"/>
    <col min="15612" max="15612" width="49.75" style="228" customWidth="1"/>
    <col min="15613" max="15864" width="9" style="228"/>
    <col min="15865" max="15865" width="56" style="228" bestFit="1" customWidth="1"/>
    <col min="15866" max="15866" width="25.5" style="228" customWidth="1"/>
    <col min="15867" max="15867" width="13.25" style="228" customWidth="1"/>
    <col min="15868" max="15868" width="49.75" style="228" customWidth="1"/>
    <col min="15869" max="16120" width="9" style="228"/>
    <col min="16121" max="16121" width="56" style="228" bestFit="1" customWidth="1"/>
    <col min="16122" max="16122" width="25.5" style="228" customWidth="1"/>
    <col min="16123" max="16123" width="13.25" style="228" customWidth="1"/>
    <col min="16124" max="16124" width="49.75" style="228" customWidth="1"/>
    <col min="16125" max="16384" width="9" style="228"/>
  </cols>
  <sheetData>
    <row r="1" spans="1:7" ht="33" customHeight="1" x14ac:dyDescent="0.25">
      <c r="A1" s="999" t="s">
        <v>700</v>
      </c>
      <c r="B1" s="999"/>
      <c r="C1" s="1000"/>
      <c r="D1" s="1000"/>
    </row>
    <row r="2" spans="1:7" ht="16.5" thickBot="1" x14ac:dyDescent="0.3"/>
    <row r="3" spans="1:7" s="243" customFormat="1" ht="62.25" customHeight="1" thickBot="1" x14ac:dyDescent="0.3">
      <c r="A3" s="502" t="s">
        <v>327</v>
      </c>
      <c r="B3" s="503" t="s">
        <v>347</v>
      </c>
      <c r="C3" s="242" t="s">
        <v>348</v>
      </c>
      <c r="D3" s="376" t="s">
        <v>821</v>
      </c>
      <c r="E3" s="499"/>
      <c r="F3" s="499"/>
      <c r="G3" s="499"/>
    </row>
    <row r="4" spans="1:7" s="225" customFormat="1" x14ac:dyDescent="0.25">
      <c r="A4" s="552" t="s">
        <v>701</v>
      </c>
      <c r="B4" s="244">
        <v>242665</v>
      </c>
      <c r="C4" s="244">
        <v>0</v>
      </c>
      <c r="D4" s="244">
        <f>C4+B4</f>
        <v>242665</v>
      </c>
      <c r="E4" s="500"/>
      <c r="F4" s="500"/>
      <c r="G4" s="500"/>
    </row>
    <row r="5" spans="1:7" s="225" customFormat="1" x14ac:dyDescent="0.25">
      <c r="A5" s="245"/>
      <c r="B5" s="246"/>
      <c r="C5" s="246"/>
      <c r="D5" s="244"/>
      <c r="E5" s="500"/>
      <c r="F5" s="500"/>
      <c r="G5" s="500"/>
    </row>
    <row r="6" spans="1:7" x14ac:dyDescent="0.25">
      <c r="A6" s="226" t="s">
        <v>702</v>
      </c>
      <c r="B6" s="221">
        <v>587203</v>
      </c>
      <c r="C6" s="221"/>
      <c r="D6" s="244">
        <f t="shared" ref="D6:D72" si="0">C6+B6</f>
        <v>587203</v>
      </c>
    </row>
    <row r="7" spans="1:7" x14ac:dyDescent="0.25">
      <c r="A7" s="247"/>
      <c r="B7" s="248"/>
      <c r="C7" s="248"/>
      <c r="D7" s="244"/>
    </row>
    <row r="8" spans="1:7" x14ac:dyDescent="0.25">
      <c r="A8" s="226" t="s">
        <v>703</v>
      </c>
      <c r="B8" s="221">
        <v>56512</v>
      </c>
      <c r="C8" s="221">
        <v>0</v>
      </c>
      <c r="D8" s="244">
        <f t="shared" si="0"/>
        <v>56512</v>
      </c>
      <c r="E8" s="498" t="s">
        <v>952</v>
      </c>
    </row>
    <row r="9" spans="1:7" x14ac:dyDescent="0.25">
      <c r="A9" s="229"/>
      <c r="B9" s="222"/>
      <c r="C9" s="222"/>
      <c r="D9" s="244"/>
    </row>
    <row r="10" spans="1:7" x14ac:dyDescent="0.25">
      <c r="A10" s="226" t="s">
        <v>704</v>
      </c>
      <c r="B10" s="221">
        <v>154599</v>
      </c>
      <c r="C10" s="221">
        <v>0</v>
      </c>
      <c r="D10" s="244">
        <f t="shared" si="0"/>
        <v>154599</v>
      </c>
      <c r="E10" s="498" t="s">
        <v>947</v>
      </c>
    </row>
    <row r="11" spans="1:7" x14ac:dyDescent="0.25">
      <c r="A11" s="226"/>
      <c r="B11" s="221"/>
      <c r="C11" s="221"/>
      <c r="D11" s="244"/>
    </row>
    <row r="12" spans="1:7" x14ac:dyDescent="0.25">
      <c r="A12" s="226" t="s">
        <v>705</v>
      </c>
      <c r="B12" s="221">
        <f>SUM(B13:B18)</f>
        <v>521255</v>
      </c>
      <c r="C12" s="221">
        <f>SUM(C13:C18)</f>
        <v>0</v>
      </c>
      <c r="D12" s="244">
        <f t="shared" si="0"/>
        <v>521255</v>
      </c>
    </row>
    <row r="13" spans="1:7" x14ac:dyDescent="0.25">
      <c r="A13" s="229" t="s">
        <v>175</v>
      </c>
      <c r="B13" s="248">
        <v>33620</v>
      </c>
      <c r="C13" s="248"/>
      <c r="D13" s="249">
        <f t="shared" si="0"/>
        <v>33620</v>
      </c>
    </row>
    <row r="14" spans="1:7" x14ac:dyDescent="0.25">
      <c r="A14" s="229" t="s">
        <v>176</v>
      </c>
      <c r="B14" s="248">
        <v>38535</v>
      </c>
      <c r="C14" s="248"/>
      <c r="D14" s="249">
        <f t="shared" si="0"/>
        <v>38535</v>
      </c>
    </row>
    <row r="15" spans="1:7" x14ac:dyDescent="0.25">
      <c r="A15" s="229" t="s">
        <v>546</v>
      </c>
      <c r="B15" s="248">
        <v>63851</v>
      </c>
      <c r="C15" s="248"/>
      <c r="D15" s="249">
        <f t="shared" si="0"/>
        <v>63851</v>
      </c>
    </row>
    <row r="16" spans="1:7" x14ac:dyDescent="0.25">
      <c r="A16" s="229" t="s">
        <v>225</v>
      </c>
      <c r="B16" s="248">
        <v>35165</v>
      </c>
      <c r="C16" s="248"/>
      <c r="D16" s="249">
        <f t="shared" si="0"/>
        <v>35165</v>
      </c>
    </row>
    <row r="17" spans="1:4" x14ac:dyDescent="0.25">
      <c r="A17" s="229" t="s">
        <v>706</v>
      </c>
      <c r="B17" s="248">
        <v>150238</v>
      </c>
      <c r="C17" s="248"/>
      <c r="D17" s="249">
        <f t="shared" si="0"/>
        <v>150238</v>
      </c>
    </row>
    <row r="18" spans="1:4" x14ac:dyDescent="0.25">
      <c r="A18" s="229" t="s">
        <v>656</v>
      </c>
      <c r="B18" s="248">
        <v>199846</v>
      </c>
      <c r="C18" s="248"/>
      <c r="D18" s="249">
        <f t="shared" si="0"/>
        <v>199846</v>
      </c>
    </row>
    <row r="19" spans="1:4" x14ac:dyDescent="0.25">
      <c r="A19" s="229"/>
      <c r="B19" s="222"/>
      <c r="C19" s="222"/>
      <c r="D19" s="244"/>
    </row>
    <row r="20" spans="1:4" x14ac:dyDescent="0.25">
      <c r="A20" s="226" t="s">
        <v>707</v>
      </c>
      <c r="B20" s="221">
        <f>+B21+B22</f>
        <v>12207</v>
      </c>
      <c r="C20" s="221">
        <f>+C21+C22</f>
        <v>0</v>
      </c>
      <c r="D20" s="244">
        <f t="shared" si="0"/>
        <v>12207</v>
      </c>
    </row>
    <row r="21" spans="1:4" x14ac:dyDescent="0.25">
      <c r="A21" s="229" t="s">
        <v>332</v>
      </c>
      <c r="B21" s="222">
        <v>5364</v>
      </c>
      <c r="C21" s="222"/>
      <c r="D21" s="249">
        <f t="shared" si="0"/>
        <v>5364</v>
      </c>
    </row>
    <row r="22" spans="1:4" ht="31.5" x14ac:dyDescent="0.25">
      <c r="A22" s="229" t="s">
        <v>796</v>
      </c>
      <c r="B22" s="222">
        <v>6843</v>
      </c>
      <c r="C22" s="222"/>
      <c r="D22" s="249">
        <f t="shared" si="0"/>
        <v>6843</v>
      </c>
    </row>
    <row r="23" spans="1:4" x14ac:dyDescent="0.25">
      <c r="A23" s="226"/>
      <c r="B23" s="246"/>
      <c r="C23" s="246"/>
      <c r="D23" s="244">
        <f t="shared" si="0"/>
        <v>0</v>
      </c>
    </row>
    <row r="24" spans="1:4" x14ac:dyDescent="0.25">
      <c r="A24" s="226" t="s">
        <v>708</v>
      </c>
      <c r="B24" s="246">
        <f t="shared" ref="B24:C24" si="1">SUM(B25:B32)</f>
        <v>125652</v>
      </c>
      <c r="C24" s="246">
        <f t="shared" si="1"/>
        <v>0</v>
      </c>
      <c r="D24" s="244">
        <f t="shared" si="0"/>
        <v>125652</v>
      </c>
    </row>
    <row r="25" spans="1:4" x14ac:dyDescent="0.25">
      <c r="A25" s="250" t="s">
        <v>709</v>
      </c>
      <c r="B25" s="246"/>
      <c r="C25" s="246"/>
      <c r="D25" s="244"/>
    </row>
    <row r="26" spans="1:4" x14ac:dyDescent="0.25">
      <c r="A26" s="229" t="s">
        <v>545</v>
      </c>
      <c r="B26" s="248">
        <v>22225</v>
      </c>
      <c r="C26" s="248"/>
      <c r="D26" s="249">
        <f t="shared" si="0"/>
        <v>22225</v>
      </c>
    </row>
    <row r="27" spans="1:4" x14ac:dyDescent="0.25">
      <c r="A27" s="229" t="s">
        <v>548</v>
      </c>
      <c r="B27" s="248">
        <v>20857</v>
      </c>
      <c r="C27" s="248"/>
      <c r="D27" s="249">
        <f t="shared" si="0"/>
        <v>20857</v>
      </c>
    </row>
    <row r="28" spans="1:4" x14ac:dyDescent="0.25">
      <c r="A28" s="229" t="s">
        <v>710</v>
      </c>
      <c r="B28" s="248">
        <v>186</v>
      </c>
      <c r="C28" s="248"/>
      <c r="D28" s="249">
        <f t="shared" si="0"/>
        <v>186</v>
      </c>
    </row>
    <row r="29" spans="1:4" x14ac:dyDescent="0.25">
      <c r="A29" s="250" t="s">
        <v>711</v>
      </c>
      <c r="B29" s="248"/>
      <c r="C29" s="248"/>
      <c r="D29" s="249"/>
    </row>
    <row r="30" spans="1:4" x14ac:dyDescent="0.25">
      <c r="A30" s="229" t="s">
        <v>174</v>
      </c>
      <c r="B30" s="248">
        <v>3315</v>
      </c>
      <c r="C30" s="248"/>
      <c r="D30" s="249">
        <f t="shared" si="0"/>
        <v>3315</v>
      </c>
    </row>
    <row r="31" spans="1:4" ht="31.5" x14ac:dyDescent="0.25">
      <c r="A31" s="229" t="s">
        <v>712</v>
      </c>
      <c r="B31" s="248">
        <v>4500</v>
      </c>
      <c r="C31" s="248"/>
      <c r="D31" s="249">
        <f t="shared" si="0"/>
        <v>4500</v>
      </c>
    </row>
    <row r="32" spans="1:4" x14ac:dyDescent="0.25">
      <c r="A32" s="229" t="s">
        <v>328</v>
      </c>
      <c r="B32" s="248">
        <v>74569</v>
      </c>
      <c r="C32" s="248"/>
      <c r="D32" s="249">
        <f t="shared" si="0"/>
        <v>74569</v>
      </c>
    </row>
    <row r="33" spans="1:5" x14ac:dyDescent="0.25">
      <c r="A33" s="226"/>
      <c r="B33" s="248"/>
      <c r="C33" s="248"/>
      <c r="D33" s="244"/>
    </row>
    <row r="34" spans="1:5" x14ac:dyDescent="0.25">
      <c r="A34" s="226" t="s">
        <v>713</v>
      </c>
      <c r="B34" s="246">
        <f>SUM(B35:B58)</f>
        <v>872804</v>
      </c>
      <c r="C34" s="246">
        <f>SUM(C35:C58)</f>
        <v>0</v>
      </c>
      <c r="D34" s="244">
        <f t="shared" si="0"/>
        <v>872804</v>
      </c>
    </row>
    <row r="35" spans="1:5" x14ac:dyDescent="0.25">
      <c r="A35" s="229" t="s">
        <v>714</v>
      </c>
      <c r="B35" s="248">
        <v>0</v>
      </c>
      <c r="C35" s="248">
        <v>0</v>
      </c>
      <c r="D35" s="249">
        <f t="shared" si="0"/>
        <v>0</v>
      </c>
      <c r="E35" s="498" t="s">
        <v>934</v>
      </c>
    </row>
    <row r="36" spans="1:5" x14ac:dyDescent="0.25">
      <c r="A36" s="229" t="s">
        <v>715</v>
      </c>
      <c r="B36" s="248">
        <v>2540</v>
      </c>
      <c r="C36" s="248"/>
      <c r="D36" s="249">
        <f t="shared" si="0"/>
        <v>2540</v>
      </c>
    </row>
    <row r="37" spans="1:5" x14ac:dyDescent="0.25">
      <c r="A37" s="229" t="s">
        <v>716</v>
      </c>
      <c r="B37" s="248">
        <v>699</v>
      </c>
      <c r="C37" s="248"/>
      <c r="D37" s="249">
        <f t="shared" si="0"/>
        <v>699</v>
      </c>
    </row>
    <row r="38" spans="1:5" ht="31.5" x14ac:dyDescent="0.25">
      <c r="A38" s="229" t="s">
        <v>717</v>
      </c>
      <c r="B38" s="248">
        <v>1029</v>
      </c>
      <c r="C38" s="248"/>
      <c r="D38" s="249">
        <f t="shared" si="0"/>
        <v>1029</v>
      </c>
    </row>
    <row r="39" spans="1:5" ht="31.5" x14ac:dyDescent="0.25">
      <c r="A39" s="229" t="s">
        <v>718</v>
      </c>
      <c r="B39" s="248">
        <v>12700</v>
      </c>
      <c r="C39" s="248"/>
      <c r="D39" s="249">
        <f t="shared" si="0"/>
        <v>12700</v>
      </c>
    </row>
    <row r="40" spans="1:5" x14ac:dyDescent="0.25">
      <c r="A40" s="229" t="s">
        <v>331</v>
      </c>
      <c r="B40" s="248">
        <v>65</v>
      </c>
      <c r="C40" s="248"/>
      <c r="D40" s="249">
        <f t="shared" si="0"/>
        <v>65</v>
      </c>
    </row>
    <row r="41" spans="1:5" x14ac:dyDescent="0.25">
      <c r="A41" s="229" t="s">
        <v>329</v>
      </c>
      <c r="B41" s="248">
        <v>20619</v>
      </c>
      <c r="C41" s="248"/>
      <c r="D41" s="249">
        <f t="shared" si="0"/>
        <v>20619</v>
      </c>
    </row>
    <row r="42" spans="1:5" x14ac:dyDescent="0.25">
      <c r="A42" s="229" t="s">
        <v>177</v>
      </c>
      <c r="B42" s="248">
        <v>35000</v>
      </c>
      <c r="C42" s="248">
        <f>-35000+35000</f>
        <v>0</v>
      </c>
      <c r="D42" s="249">
        <f t="shared" si="0"/>
        <v>35000</v>
      </c>
    </row>
    <row r="43" spans="1:5" x14ac:dyDescent="0.25">
      <c r="A43" s="229" t="s">
        <v>330</v>
      </c>
      <c r="B43" s="248">
        <v>10000</v>
      </c>
      <c r="C43" s="248"/>
      <c r="D43" s="249">
        <f t="shared" si="0"/>
        <v>10000</v>
      </c>
    </row>
    <row r="44" spans="1:5" ht="31.5" x14ac:dyDescent="0.25">
      <c r="A44" s="229" t="s">
        <v>820</v>
      </c>
      <c r="B44" s="248">
        <v>374030</v>
      </c>
      <c r="C44" s="248">
        <v>0</v>
      </c>
      <c r="D44" s="249">
        <f t="shared" si="0"/>
        <v>374030</v>
      </c>
    </row>
    <row r="45" spans="1:5" x14ac:dyDescent="0.25">
      <c r="A45" s="229" t="s">
        <v>488</v>
      </c>
      <c r="B45" s="248">
        <v>40000</v>
      </c>
      <c r="C45" s="248"/>
      <c r="D45" s="249">
        <f t="shared" si="0"/>
        <v>40000</v>
      </c>
    </row>
    <row r="46" spans="1:5" x14ac:dyDescent="0.25">
      <c r="A46" s="229" t="s">
        <v>549</v>
      </c>
      <c r="B46" s="248">
        <v>0</v>
      </c>
      <c r="C46" s="248">
        <v>0</v>
      </c>
      <c r="D46" s="249">
        <f t="shared" si="0"/>
        <v>0</v>
      </c>
      <c r="E46" s="498" t="s">
        <v>934</v>
      </c>
    </row>
    <row r="47" spans="1:5" ht="31.5" x14ac:dyDescent="0.25">
      <c r="A47" s="229" t="s">
        <v>565</v>
      </c>
      <c r="B47" s="248">
        <v>20000</v>
      </c>
      <c r="C47" s="248">
        <v>0</v>
      </c>
      <c r="D47" s="249">
        <f t="shared" si="0"/>
        <v>20000</v>
      </c>
    </row>
    <row r="48" spans="1:5" x14ac:dyDescent="0.25">
      <c r="A48" s="229" t="s">
        <v>631</v>
      </c>
      <c r="B48" s="248">
        <v>793</v>
      </c>
      <c r="C48" s="248"/>
      <c r="D48" s="249">
        <f t="shared" si="0"/>
        <v>793</v>
      </c>
    </row>
    <row r="49" spans="1:5" x14ac:dyDescent="0.25">
      <c r="A49" s="229" t="s">
        <v>719</v>
      </c>
      <c r="B49" s="248">
        <v>0</v>
      </c>
      <c r="C49" s="248"/>
      <c r="D49" s="249">
        <f t="shared" si="0"/>
        <v>0</v>
      </c>
      <c r="E49" s="498" t="s">
        <v>934</v>
      </c>
    </row>
    <row r="50" spans="1:5" ht="31.5" x14ac:dyDescent="0.25">
      <c r="A50" s="229" t="s">
        <v>720</v>
      </c>
      <c r="B50" s="248">
        <v>1120</v>
      </c>
      <c r="C50" s="248"/>
      <c r="D50" s="249">
        <f t="shared" si="0"/>
        <v>1120</v>
      </c>
    </row>
    <row r="51" spans="1:5" x14ac:dyDescent="0.25">
      <c r="A51" s="229" t="s">
        <v>721</v>
      </c>
      <c r="B51" s="248">
        <v>15374</v>
      </c>
      <c r="C51" s="248"/>
      <c r="D51" s="249">
        <f t="shared" si="0"/>
        <v>15374</v>
      </c>
    </row>
    <row r="52" spans="1:5" x14ac:dyDescent="0.25">
      <c r="A52" s="229" t="s">
        <v>722</v>
      </c>
      <c r="B52" s="248">
        <v>23961</v>
      </c>
      <c r="C52" s="248"/>
      <c r="D52" s="249">
        <f t="shared" si="0"/>
        <v>23961</v>
      </c>
    </row>
    <row r="53" spans="1:5" ht="31.5" x14ac:dyDescent="0.25">
      <c r="A53" s="247" t="s">
        <v>723</v>
      </c>
      <c r="B53" s="248">
        <v>57277</v>
      </c>
      <c r="C53" s="248"/>
      <c r="D53" s="249">
        <f t="shared" si="0"/>
        <v>57277</v>
      </c>
    </row>
    <row r="54" spans="1:5" x14ac:dyDescent="0.25">
      <c r="A54" s="229" t="s">
        <v>724</v>
      </c>
      <c r="B54" s="248">
        <v>0</v>
      </c>
      <c r="C54" s="248">
        <v>0</v>
      </c>
      <c r="D54" s="249">
        <f t="shared" si="0"/>
        <v>0</v>
      </c>
    </row>
    <row r="55" spans="1:5" x14ac:dyDescent="0.25">
      <c r="A55" s="229" t="s">
        <v>725</v>
      </c>
      <c r="B55" s="248">
        <v>6295</v>
      </c>
      <c r="C55" s="248"/>
      <c r="D55" s="249">
        <f t="shared" si="0"/>
        <v>6295</v>
      </c>
    </row>
    <row r="56" spans="1:5" x14ac:dyDescent="0.25">
      <c r="A56" s="229" t="s">
        <v>476</v>
      </c>
      <c r="B56" s="248">
        <v>635</v>
      </c>
      <c r="C56" s="248"/>
      <c r="D56" s="249">
        <f t="shared" ref="D56:D57" si="2">C56+B56</f>
        <v>635</v>
      </c>
    </row>
    <row r="57" spans="1:5" x14ac:dyDescent="0.25">
      <c r="A57" s="229" t="s">
        <v>937</v>
      </c>
      <c r="B57" s="248">
        <v>160866</v>
      </c>
      <c r="C57" s="248">
        <v>0</v>
      </c>
      <c r="D57" s="249">
        <f t="shared" si="2"/>
        <v>160866</v>
      </c>
    </row>
    <row r="58" spans="1:5" x14ac:dyDescent="0.25">
      <c r="A58" s="229" t="s">
        <v>958</v>
      </c>
      <c r="B58" s="248">
        <v>89801</v>
      </c>
      <c r="C58" s="248">
        <v>0</v>
      </c>
      <c r="D58" s="249">
        <f t="shared" si="0"/>
        <v>89801</v>
      </c>
    </row>
    <row r="59" spans="1:5" ht="16.5" thickBot="1" x14ac:dyDescent="0.3">
      <c r="A59" s="251"/>
      <c r="B59" s="252"/>
      <c r="C59" s="252"/>
      <c r="D59" s="244"/>
    </row>
    <row r="60" spans="1:5" ht="16.5" thickBot="1" x14ac:dyDescent="0.3">
      <c r="A60" s="253" t="s">
        <v>633</v>
      </c>
      <c r="B60" s="254">
        <f>+B4+B6+B8+B12+B20+B24+B34+B10</f>
        <v>2572897</v>
      </c>
      <c r="C60" s="254">
        <f>+C4+C6+C8+C12+C20+C24+C34+C10</f>
        <v>0</v>
      </c>
      <c r="D60" s="254">
        <f t="shared" si="0"/>
        <v>2572897</v>
      </c>
    </row>
    <row r="61" spans="1:5" x14ac:dyDescent="0.25">
      <c r="A61" s="236"/>
      <c r="B61" s="255"/>
      <c r="C61" s="255"/>
      <c r="D61" s="244"/>
    </row>
    <row r="62" spans="1:5" x14ac:dyDescent="0.25">
      <c r="A62" s="245" t="s">
        <v>634</v>
      </c>
      <c r="B62" s="256"/>
      <c r="C62" s="256"/>
      <c r="D62" s="244"/>
    </row>
    <row r="63" spans="1:5" ht="31.5" x14ac:dyDescent="0.25">
      <c r="A63" s="229" t="s">
        <v>547</v>
      </c>
      <c r="B63" s="256">
        <v>84820</v>
      </c>
      <c r="C63" s="256"/>
      <c r="D63" s="249">
        <f t="shared" si="0"/>
        <v>84820</v>
      </c>
    </row>
    <row r="64" spans="1:5" ht="47.25" x14ac:dyDescent="0.25">
      <c r="A64" s="229" t="s">
        <v>726</v>
      </c>
      <c r="B64" s="256">
        <v>1174224</v>
      </c>
      <c r="C64" s="256"/>
      <c r="D64" s="249">
        <f t="shared" si="0"/>
        <v>1174224</v>
      </c>
    </row>
    <row r="65" spans="1:4" x14ac:dyDescent="0.25">
      <c r="A65" s="229" t="s">
        <v>727</v>
      </c>
      <c r="B65" s="256">
        <v>124103</v>
      </c>
      <c r="C65" s="256"/>
      <c r="D65" s="249">
        <f t="shared" si="0"/>
        <v>124103</v>
      </c>
    </row>
    <row r="66" spans="1:4" ht="31.5" x14ac:dyDescent="0.25">
      <c r="A66" s="229" t="s">
        <v>944</v>
      </c>
      <c r="B66" s="256">
        <v>3240</v>
      </c>
      <c r="C66" s="256"/>
      <c r="D66" s="249">
        <f t="shared" ref="D66" si="3">C66+B66</f>
        <v>3240</v>
      </c>
    </row>
    <row r="67" spans="1:4" ht="31.5" x14ac:dyDescent="0.25">
      <c r="A67" s="257" t="s">
        <v>728</v>
      </c>
      <c r="B67" s="256">
        <v>143245</v>
      </c>
      <c r="C67" s="256"/>
      <c r="D67" s="249">
        <f t="shared" si="0"/>
        <v>143245</v>
      </c>
    </row>
    <row r="68" spans="1:4" x14ac:dyDescent="0.25">
      <c r="A68" s="257" t="s">
        <v>729</v>
      </c>
      <c r="B68" s="256">
        <v>19093</v>
      </c>
      <c r="C68" s="256"/>
      <c r="D68" s="249">
        <f t="shared" si="0"/>
        <v>19093</v>
      </c>
    </row>
    <row r="69" spans="1:4" ht="47.25" x14ac:dyDescent="0.25">
      <c r="A69" s="257" t="s">
        <v>730</v>
      </c>
      <c r="B69" s="256">
        <v>3886626</v>
      </c>
      <c r="C69" s="256"/>
      <c r="D69" s="249">
        <f t="shared" si="0"/>
        <v>3886626</v>
      </c>
    </row>
    <row r="70" spans="1:4" ht="31.5" x14ac:dyDescent="0.25">
      <c r="A70" s="257" t="s">
        <v>1036</v>
      </c>
      <c r="B70" s="256">
        <v>650000</v>
      </c>
      <c r="C70" s="256"/>
      <c r="D70" s="249">
        <f t="shared" ref="D70" si="4">C70+B70</f>
        <v>650000</v>
      </c>
    </row>
    <row r="71" spans="1:4" ht="31.5" x14ac:dyDescent="0.25">
      <c r="A71" s="229" t="s">
        <v>731</v>
      </c>
      <c r="B71" s="256">
        <v>2575142</v>
      </c>
      <c r="C71" s="256"/>
      <c r="D71" s="249">
        <f t="shared" si="0"/>
        <v>2575142</v>
      </c>
    </row>
    <row r="72" spans="1:4" x14ac:dyDescent="0.25">
      <c r="A72" s="229" t="s">
        <v>732</v>
      </c>
      <c r="B72" s="256">
        <v>9493952</v>
      </c>
      <c r="C72" s="256"/>
      <c r="D72" s="249">
        <f t="shared" si="0"/>
        <v>9493952</v>
      </c>
    </row>
    <row r="73" spans="1:4" ht="31.5" x14ac:dyDescent="0.25">
      <c r="A73" s="229" t="s">
        <v>550</v>
      </c>
      <c r="B73" s="256">
        <v>24757</v>
      </c>
      <c r="C73" s="256"/>
      <c r="D73" s="249">
        <f t="shared" ref="D73:D98" si="5">C73+B73</f>
        <v>24757</v>
      </c>
    </row>
    <row r="74" spans="1:4" ht="31.5" x14ac:dyDescent="0.25">
      <c r="A74" s="229" t="s">
        <v>551</v>
      </c>
      <c r="B74" s="256">
        <v>211595</v>
      </c>
      <c r="C74" s="256"/>
      <c r="D74" s="249">
        <f t="shared" si="5"/>
        <v>211595</v>
      </c>
    </row>
    <row r="75" spans="1:4" x14ac:dyDescent="0.25">
      <c r="A75" s="229" t="s">
        <v>552</v>
      </c>
      <c r="B75" s="256">
        <v>790629</v>
      </c>
      <c r="C75" s="256"/>
      <c r="D75" s="249">
        <f t="shared" si="5"/>
        <v>790629</v>
      </c>
    </row>
    <row r="76" spans="1:4" x14ac:dyDescent="0.25">
      <c r="A76" s="229" t="s">
        <v>553</v>
      </c>
      <c r="B76" s="256">
        <v>396443</v>
      </c>
      <c r="C76" s="256"/>
      <c r="D76" s="249">
        <f t="shared" ref="D76:D78" si="6">C76+B76</f>
        <v>396443</v>
      </c>
    </row>
    <row r="77" spans="1:4" x14ac:dyDescent="0.25">
      <c r="A77" s="229" t="s">
        <v>978</v>
      </c>
      <c r="B77" s="256">
        <v>5825</v>
      </c>
      <c r="C77" s="256">
        <v>0</v>
      </c>
      <c r="D77" s="249">
        <f t="shared" si="6"/>
        <v>5825</v>
      </c>
    </row>
    <row r="78" spans="1:4" x14ac:dyDescent="0.25">
      <c r="A78" s="229" t="s">
        <v>948</v>
      </c>
      <c r="B78" s="248">
        <v>56000</v>
      </c>
      <c r="C78" s="248">
        <v>0</v>
      </c>
      <c r="D78" s="249">
        <f t="shared" si="6"/>
        <v>56000</v>
      </c>
    </row>
    <row r="79" spans="1:4" ht="31.5" x14ac:dyDescent="0.25">
      <c r="A79" s="229" t="s">
        <v>979</v>
      </c>
      <c r="B79" s="256">
        <v>875000</v>
      </c>
      <c r="C79" s="256">
        <v>-374</v>
      </c>
      <c r="D79" s="249">
        <f t="shared" si="5"/>
        <v>874626</v>
      </c>
    </row>
    <row r="80" spans="1:4" x14ac:dyDescent="0.25">
      <c r="A80" s="226" t="s">
        <v>635</v>
      </c>
      <c r="B80" s="258">
        <f>SUM(B63:B79)</f>
        <v>20514694</v>
      </c>
      <c r="C80" s="258">
        <f>SUM(C63:C79)</f>
        <v>-374</v>
      </c>
      <c r="D80" s="244">
        <f t="shared" si="5"/>
        <v>20514320</v>
      </c>
    </row>
    <row r="81" spans="1:8" x14ac:dyDescent="0.25">
      <c r="A81" s="226"/>
      <c r="B81" s="258"/>
      <c r="C81" s="258"/>
      <c r="D81" s="244"/>
    </row>
    <row r="82" spans="1:8" x14ac:dyDescent="0.25">
      <c r="A82" s="226" t="s">
        <v>554</v>
      </c>
      <c r="B82" s="258"/>
      <c r="C82" s="258"/>
      <c r="D82" s="244"/>
    </row>
    <row r="83" spans="1:8" x14ac:dyDescent="0.25">
      <c r="A83" s="229" t="s">
        <v>733</v>
      </c>
      <c r="B83" s="256">
        <v>12199</v>
      </c>
      <c r="C83" s="256"/>
      <c r="D83" s="249">
        <f t="shared" si="5"/>
        <v>12199</v>
      </c>
      <c r="E83" s="498" t="s">
        <v>975</v>
      </c>
      <c r="F83" s="498">
        <v>12199</v>
      </c>
      <c r="G83" s="501">
        <f>+D83-F83</f>
        <v>0</v>
      </c>
    </row>
    <row r="84" spans="1:8" x14ac:dyDescent="0.25">
      <c r="A84" s="229" t="s">
        <v>734</v>
      </c>
      <c r="B84" s="256">
        <v>790470</v>
      </c>
      <c r="C84" s="256"/>
      <c r="D84" s="249">
        <f t="shared" si="5"/>
        <v>790470</v>
      </c>
      <c r="E84" s="498" t="s">
        <v>975</v>
      </c>
      <c r="F84" s="498">
        <f>349626+440844</f>
        <v>790470</v>
      </c>
      <c r="G84" s="501">
        <f>+D84-F84</f>
        <v>0</v>
      </c>
      <c r="H84" s="501" t="s">
        <v>976</v>
      </c>
    </row>
    <row r="85" spans="1:8" x14ac:dyDescent="0.25">
      <c r="A85" s="229" t="s">
        <v>735</v>
      </c>
      <c r="B85" s="256">
        <v>225083</v>
      </c>
      <c r="C85" s="256"/>
      <c r="D85" s="249">
        <f t="shared" si="5"/>
        <v>225083</v>
      </c>
    </row>
    <row r="86" spans="1:8" x14ac:dyDescent="0.25">
      <c r="A86" s="229" t="s">
        <v>736</v>
      </c>
      <c r="B86" s="256">
        <v>4063</v>
      </c>
      <c r="C86" s="256">
        <v>100</v>
      </c>
      <c r="D86" s="249">
        <f t="shared" si="5"/>
        <v>4163</v>
      </c>
      <c r="E86" s="498" t="s">
        <v>975</v>
      </c>
      <c r="F86" s="498">
        <v>4063</v>
      </c>
      <c r="G86" s="501">
        <f>+D86-F86</f>
        <v>100</v>
      </c>
    </row>
    <row r="87" spans="1:8" x14ac:dyDescent="0.25">
      <c r="A87" s="229" t="s">
        <v>478</v>
      </c>
      <c r="B87" s="256">
        <v>1181012</v>
      </c>
      <c r="C87" s="256"/>
      <c r="D87" s="249">
        <f t="shared" si="5"/>
        <v>1181012</v>
      </c>
      <c r="E87" s="498" t="s">
        <v>975</v>
      </c>
      <c r="F87" s="498">
        <v>1141688</v>
      </c>
      <c r="G87" s="501">
        <f>+D87-F87</f>
        <v>39324</v>
      </c>
    </row>
    <row r="88" spans="1:8" x14ac:dyDescent="0.25">
      <c r="A88" s="229" t="s">
        <v>737</v>
      </c>
      <c r="B88" s="256">
        <v>108</v>
      </c>
      <c r="C88" s="256"/>
      <c r="D88" s="249">
        <f t="shared" si="5"/>
        <v>108</v>
      </c>
      <c r="E88" s="498" t="s">
        <v>975</v>
      </c>
      <c r="F88" s="498">
        <v>108</v>
      </c>
      <c r="G88" s="501">
        <f>+D88-F88</f>
        <v>0</v>
      </c>
    </row>
    <row r="89" spans="1:8" x14ac:dyDescent="0.25">
      <c r="A89" s="229" t="s">
        <v>738</v>
      </c>
      <c r="B89" s="256">
        <v>0</v>
      </c>
      <c r="C89" s="256"/>
      <c r="D89" s="249">
        <f t="shared" si="5"/>
        <v>0</v>
      </c>
      <c r="E89" s="498" t="s">
        <v>975</v>
      </c>
      <c r="F89" s="498">
        <v>0</v>
      </c>
    </row>
    <row r="90" spans="1:8" x14ac:dyDescent="0.25">
      <c r="A90" s="229" t="s">
        <v>477</v>
      </c>
      <c r="B90" s="256">
        <v>1320347</v>
      </c>
      <c r="C90" s="256"/>
      <c r="D90" s="249">
        <f t="shared" si="5"/>
        <v>1320347</v>
      </c>
    </row>
    <row r="91" spans="1:8" x14ac:dyDescent="0.25">
      <c r="A91" s="229" t="s">
        <v>555</v>
      </c>
      <c r="B91" s="256">
        <v>184345</v>
      </c>
      <c r="C91" s="256"/>
      <c r="D91" s="249">
        <f t="shared" si="5"/>
        <v>184345</v>
      </c>
      <c r="E91" s="498" t="s">
        <v>977</v>
      </c>
    </row>
    <row r="92" spans="1:8" x14ac:dyDescent="0.25">
      <c r="A92" s="229" t="s">
        <v>739</v>
      </c>
      <c r="B92" s="256">
        <v>510825</v>
      </c>
      <c r="C92" s="256"/>
      <c r="D92" s="249">
        <f t="shared" si="5"/>
        <v>510825</v>
      </c>
    </row>
    <row r="93" spans="1:8" x14ac:dyDescent="0.25">
      <c r="A93" s="229" t="s">
        <v>740</v>
      </c>
      <c r="B93" s="256">
        <v>258037</v>
      </c>
      <c r="C93" s="256"/>
      <c r="D93" s="249">
        <f t="shared" si="5"/>
        <v>258037</v>
      </c>
    </row>
    <row r="94" spans="1:8" x14ac:dyDescent="0.25">
      <c r="A94" s="229" t="s">
        <v>556</v>
      </c>
      <c r="B94" s="256">
        <v>685242</v>
      </c>
      <c r="C94" s="256"/>
      <c r="D94" s="249">
        <f t="shared" si="5"/>
        <v>685242</v>
      </c>
    </row>
    <row r="95" spans="1:8" x14ac:dyDescent="0.25">
      <c r="A95" s="229" t="s">
        <v>950</v>
      </c>
      <c r="B95" s="256">
        <v>270583</v>
      </c>
      <c r="C95" s="256"/>
      <c r="D95" s="249">
        <f t="shared" si="5"/>
        <v>270583</v>
      </c>
    </row>
    <row r="96" spans="1:8" x14ac:dyDescent="0.25">
      <c r="A96" s="229"/>
      <c r="B96" s="256"/>
      <c r="C96" s="256"/>
      <c r="D96" s="249"/>
    </row>
    <row r="97" spans="1:6" x14ac:dyDescent="0.25">
      <c r="A97" s="226" t="s">
        <v>554</v>
      </c>
      <c r="B97" s="258">
        <f>SUM(B83:B96)</f>
        <v>5442314</v>
      </c>
      <c r="C97" s="258">
        <f t="shared" ref="C97:D97" si="7">SUM(C83:C96)</f>
        <v>100</v>
      </c>
      <c r="D97" s="258">
        <f t="shared" si="7"/>
        <v>5442414</v>
      </c>
    </row>
    <row r="98" spans="1:6" ht="16.5" thickBot="1" x14ac:dyDescent="0.3">
      <c r="A98" s="259"/>
      <c r="B98" s="260"/>
      <c r="C98" s="260"/>
      <c r="D98" s="244">
        <f t="shared" si="5"/>
        <v>0</v>
      </c>
    </row>
    <row r="99" spans="1:6" ht="16.5" thickBot="1" x14ac:dyDescent="0.3">
      <c r="A99" s="253" t="s">
        <v>636</v>
      </c>
      <c r="B99" s="261">
        <f>SUM(B80,B97)</f>
        <v>25957008</v>
      </c>
      <c r="C99" s="261">
        <f t="shared" ref="C99:D99" si="8">SUM(C80,C97)</f>
        <v>-274</v>
      </c>
      <c r="D99" s="261">
        <f t="shared" si="8"/>
        <v>25956734</v>
      </c>
    </row>
    <row r="100" spans="1:6" ht="16.5" thickBot="1" x14ac:dyDescent="0.3">
      <c r="A100" s="262"/>
      <c r="B100" s="263"/>
      <c r="C100" s="263"/>
      <c r="D100" s="261"/>
    </row>
    <row r="101" spans="1:6" ht="16.5" thickBot="1" x14ac:dyDescent="0.3">
      <c r="A101" s="253" t="s">
        <v>487</v>
      </c>
      <c r="B101" s="261">
        <f>+B99+B60</f>
        <v>28529905</v>
      </c>
      <c r="C101" s="261">
        <f>+C99+C60</f>
        <v>-274</v>
      </c>
      <c r="D101" s="261">
        <f>+D99+D60</f>
        <v>28529631</v>
      </c>
    </row>
    <row r="102" spans="1:6" hidden="1" x14ac:dyDescent="0.25">
      <c r="B102" s="228"/>
      <c r="C102" s="228"/>
      <c r="D102" s="494">
        <f>+B101+C101</f>
        <v>28529631</v>
      </c>
    </row>
    <row r="103" spans="1:6" hidden="1" x14ac:dyDescent="0.25">
      <c r="D103" s="494">
        <f>+'11melléklet '!E87</f>
        <v>28529631</v>
      </c>
      <c r="E103" s="495" t="s">
        <v>925</v>
      </c>
      <c r="F103" s="501">
        <f>+D101-D103</f>
        <v>0</v>
      </c>
    </row>
  </sheetData>
  <mergeCells count="1">
    <mergeCell ref="A1:D1"/>
  </mergeCells>
  <pageMargins left="0.70866141732283472" right="0.70866141732283472" top="0.74803149606299213" bottom="0.78740157480314965" header="0.31496062992125984" footer="0.15748031496062992"/>
  <pageSetup paperSize="9" scale="60" fitToHeight="0" orientation="portrait" r:id="rId1"/>
  <headerFooter>
    <oddHeader>&amp;R&amp;"Times New Roman CE,Félkövér" 11. melléklet a 12/2021.(II.25.) önkormányzati rendelethez 
 &amp;"Times New Roman CE,Dőlt"&amp;10 12. melléklet az 5/2020.(II.17.) önkormányzati rendelehet</oddHeader>
  </headerFooter>
  <rowBreaks count="1" manualBreakCount="1">
    <brk id="60"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324E9-AC3B-4AA6-B8BE-FFDC93E24944}">
  <sheetPr>
    <pageSetUpPr fitToPage="1"/>
  </sheetPr>
  <dimension ref="A1:B17"/>
  <sheetViews>
    <sheetView zoomScale="90" zoomScaleNormal="90" workbookViewId="0">
      <selection activeCell="E6" sqref="E6"/>
    </sheetView>
  </sheetViews>
  <sheetFormatPr defaultColWidth="9" defaultRowHeight="15.75" x14ac:dyDescent="0.25"/>
  <cols>
    <col min="1" max="1" width="58.125" style="591" customWidth="1"/>
    <col min="2" max="2" width="18.25" style="591" customWidth="1"/>
    <col min="3" max="16384" width="9" style="590"/>
  </cols>
  <sheetData>
    <row r="1" spans="1:2" x14ac:dyDescent="0.25">
      <c r="A1" s="1034" t="s">
        <v>1248</v>
      </c>
      <c r="B1" s="1034"/>
    </row>
    <row r="2" spans="1:2" ht="18.75" x14ac:dyDescent="0.3">
      <c r="A2" s="607"/>
      <c r="B2" s="607"/>
    </row>
    <row r="3" spans="1:2" ht="16.5" thickBot="1" x14ac:dyDescent="0.3"/>
    <row r="4" spans="1:2" ht="37.5" customHeight="1" thickBot="1" x14ac:dyDescent="0.3">
      <c r="A4" s="592" t="s">
        <v>1249</v>
      </c>
      <c r="B4" s="593" t="s">
        <v>347</v>
      </c>
    </row>
    <row r="5" spans="1:2" x14ac:dyDescent="0.25">
      <c r="A5" s="594" t="s">
        <v>1250</v>
      </c>
      <c r="B5" s="595">
        <v>42139</v>
      </c>
    </row>
    <row r="6" spans="1:2" ht="16.5" thickBot="1" x14ac:dyDescent="0.3">
      <c r="A6" s="596" t="s">
        <v>1251</v>
      </c>
      <c r="B6" s="597">
        <v>14745</v>
      </c>
    </row>
    <row r="7" spans="1:2" ht="16.5" thickBot="1" x14ac:dyDescent="0.3">
      <c r="A7" s="598" t="s">
        <v>369</v>
      </c>
      <c r="B7" s="599">
        <f>SUM(B5:B6)</f>
        <v>56884</v>
      </c>
    </row>
    <row r="8" spans="1:2" s="601" customFormat="1" ht="12.75" x14ac:dyDescent="0.2">
      <c r="A8" s="600"/>
      <c r="B8" s="600"/>
    </row>
    <row r="9" spans="1:2" s="601" customFormat="1" ht="12.75" x14ac:dyDescent="0.2">
      <c r="B9" s="600"/>
    </row>
    <row r="10" spans="1:2" ht="16.5" thickBot="1" x14ac:dyDescent="0.3"/>
    <row r="11" spans="1:2" ht="41.25" customHeight="1" thickBot="1" x14ac:dyDescent="0.3">
      <c r="A11" s="592" t="s">
        <v>1252</v>
      </c>
      <c r="B11" s="593" t="s">
        <v>347</v>
      </c>
    </row>
    <row r="12" spans="1:2" x14ac:dyDescent="0.25">
      <c r="A12" s="596" t="s">
        <v>1253</v>
      </c>
      <c r="B12" s="595">
        <v>10000</v>
      </c>
    </row>
    <row r="13" spans="1:2" ht="31.5" x14ac:dyDescent="0.25">
      <c r="A13" s="596" t="s">
        <v>177</v>
      </c>
      <c r="B13" s="595">
        <v>35000</v>
      </c>
    </row>
    <row r="14" spans="1:2" ht="48" thickBot="1" x14ac:dyDescent="0.3">
      <c r="A14" s="602" t="s">
        <v>1254</v>
      </c>
      <c r="B14" s="597">
        <f>+B7-B12-B13</f>
        <v>11884</v>
      </c>
    </row>
    <row r="15" spans="1:2" ht="16.5" thickBot="1" x14ac:dyDescent="0.3">
      <c r="A15" s="598" t="s">
        <v>369</v>
      </c>
      <c r="B15" s="599">
        <f>SUM(B12:B14)</f>
        <v>56884</v>
      </c>
    </row>
    <row r="17" spans="1:1" x14ac:dyDescent="0.25">
      <c r="A17" s="586"/>
    </row>
  </sheetData>
  <mergeCells count="1">
    <mergeCell ref="A1:B1"/>
  </mergeCells>
  <printOptions horizontalCentered="1"/>
  <pageMargins left="0.63" right="0.5" top="1.3385826771653544" bottom="0.39370078740157483" header="0.43307086614173229" footer="0.19685039370078741"/>
  <pageSetup paperSize="9" orientation="portrait" r:id="rId1"/>
  <headerFooter alignWithMargins="0">
    <oddHeader xml:space="preserve">&amp;R&amp;"Times New Roman CE,Félkövér" &amp;10 12. melléklet a 12/2021.(II.25.) önkormányzati rendelethez
&amp;"Times New Roman CE,Dőlt"13. melléklet
az 5/2020.(II.17.) önkormányzati rendelethez&amp;"Times New Roman CE,Félkövér"
</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J118"/>
  <sheetViews>
    <sheetView view="pageBreakPreview" zoomScale="60" zoomScaleNormal="80" workbookViewId="0">
      <pane ySplit="1" topLeftCell="A86" activePane="bottomLeft" state="frozen"/>
      <selection activeCell="F12" sqref="F12"/>
      <selection pane="bottomLeft" activeCell="N101" sqref="N101"/>
    </sheetView>
  </sheetViews>
  <sheetFormatPr defaultRowHeight="15.75" x14ac:dyDescent="0.25"/>
  <cols>
    <col min="1" max="1" width="36" style="433" customWidth="1"/>
    <col min="2" max="2" width="54.125" style="432" customWidth="1"/>
    <col min="3" max="5" width="19.5" style="434" customWidth="1"/>
    <col min="6" max="9" width="0" style="432" hidden="1" customWidth="1"/>
    <col min="10" max="248" width="9" style="432"/>
    <col min="249" max="249" width="43.5" style="432" customWidth="1"/>
    <col min="250" max="250" width="19.5" style="432" customWidth="1"/>
    <col min="251" max="251" width="17.375" style="432" customWidth="1"/>
    <col min="252" max="252" width="50.375" style="432" customWidth="1"/>
    <col min="253" max="504" width="9" style="432"/>
    <col min="505" max="505" width="43.5" style="432" customWidth="1"/>
    <col min="506" max="506" width="19.5" style="432" customWidth="1"/>
    <col min="507" max="507" width="17.375" style="432" customWidth="1"/>
    <col min="508" max="508" width="50.375" style="432" customWidth="1"/>
    <col min="509" max="760" width="9" style="432"/>
    <col min="761" max="761" width="43.5" style="432" customWidth="1"/>
    <col min="762" max="762" width="19.5" style="432" customWidth="1"/>
    <col min="763" max="763" width="17.375" style="432" customWidth="1"/>
    <col min="764" max="764" width="50.375" style="432" customWidth="1"/>
    <col min="765" max="1016" width="9" style="432"/>
    <col min="1017" max="1017" width="43.5" style="432" customWidth="1"/>
    <col min="1018" max="1018" width="19.5" style="432" customWidth="1"/>
    <col min="1019" max="1019" width="17.375" style="432" customWidth="1"/>
    <col min="1020" max="1020" width="50.375" style="432" customWidth="1"/>
    <col min="1021" max="1272" width="9" style="432"/>
    <col min="1273" max="1273" width="43.5" style="432" customWidth="1"/>
    <col min="1274" max="1274" width="19.5" style="432" customWidth="1"/>
    <col min="1275" max="1275" width="17.375" style="432" customWidth="1"/>
    <col min="1276" max="1276" width="50.375" style="432" customWidth="1"/>
    <col min="1277" max="1528" width="9" style="432"/>
    <col min="1529" max="1529" width="43.5" style="432" customWidth="1"/>
    <col min="1530" max="1530" width="19.5" style="432" customWidth="1"/>
    <col min="1531" max="1531" width="17.375" style="432" customWidth="1"/>
    <col min="1532" max="1532" width="50.375" style="432" customWidth="1"/>
    <col min="1533" max="1784" width="9" style="432"/>
    <col min="1785" max="1785" width="43.5" style="432" customWidth="1"/>
    <col min="1786" max="1786" width="19.5" style="432" customWidth="1"/>
    <col min="1787" max="1787" width="17.375" style="432" customWidth="1"/>
    <col min="1788" max="1788" width="50.375" style="432" customWidth="1"/>
    <col min="1789" max="2040" width="9" style="432"/>
    <col min="2041" max="2041" width="43.5" style="432" customWidth="1"/>
    <col min="2042" max="2042" width="19.5" style="432" customWidth="1"/>
    <col min="2043" max="2043" width="17.375" style="432" customWidth="1"/>
    <col min="2044" max="2044" width="50.375" style="432" customWidth="1"/>
    <col min="2045" max="2296" width="9" style="432"/>
    <col min="2297" max="2297" width="43.5" style="432" customWidth="1"/>
    <col min="2298" max="2298" width="19.5" style="432" customWidth="1"/>
    <col min="2299" max="2299" width="17.375" style="432" customWidth="1"/>
    <col min="2300" max="2300" width="50.375" style="432" customWidth="1"/>
    <col min="2301" max="2552" width="9" style="432"/>
    <col min="2553" max="2553" width="43.5" style="432" customWidth="1"/>
    <col min="2554" max="2554" width="19.5" style="432" customWidth="1"/>
    <col min="2555" max="2555" width="17.375" style="432" customWidth="1"/>
    <col min="2556" max="2556" width="50.375" style="432" customWidth="1"/>
    <col min="2557" max="2808" width="9" style="432"/>
    <col min="2809" max="2809" width="43.5" style="432" customWidth="1"/>
    <col min="2810" max="2810" width="19.5" style="432" customWidth="1"/>
    <col min="2811" max="2811" width="17.375" style="432" customWidth="1"/>
    <col min="2812" max="2812" width="50.375" style="432" customWidth="1"/>
    <col min="2813" max="3064" width="9" style="432"/>
    <col min="3065" max="3065" width="43.5" style="432" customWidth="1"/>
    <col min="3066" max="3066" width="19.5" style="432" customWidth="1"/>
    <col min="3067" max="3067" width="17.375" style="432" customWidth="1"/>
    <col min="3068" max="3068" width="50.375" style="432" customWidth="1"/>
    <col min="3069" max="3320" width="9" style="432"/>
    <col min="3321" max="3321" width="43.5" style="432" customWidth="1"/>
    <col min="3322" max="3322" width="19.5" style="432" customWidth="1"/>
    <col min="3323" max="3323" width="17.375" style="432" customWidth="1"/>
    <col min="3324" max="3324" width="50.375" style="432" customWidth="1"/>
    <col min="3325" max="3576" width="9" style="432"/>
    <col min="3577" max="3577" width="43.5" style="432" customWidth="1"/>
    <col min="3578" max="3578" width="19.5" style="432" customWidth="1"/>
    <col min="3579" max="3579" width="17.375" style="432" customWidth="1"/>
    <col min="3580" max="3580" width="50.375" style="432" customWidth="1"/>
    <col min="3581" max="3832" width="9" style="432"/>
    <col min="3833" max="3833" width="43.5" style="432" customWidth="1"/>
    <col min="3834" max="3834" width="19.5" style="432" customWidth="1"/>
    <col min="3835" max="3835" width="17.375" style="432" customWidth="1"/>
    <col min="3836" max="3836" width="50.375" style="432" customWidth="1"/>
    <col min="3837" max="4088" width="9" style="432"/>
    <col min="4089" max="4089" width="43.5" style="432" customWidth="1"/>
    <col min="4090" max="4090" width="19.5" style="432" customWidth="1"/>
    <col min="4091" max="4091" width="17.375" style="432" customWidth="1"/>
    <col min="4092" max="4092" width="50.375" style="432" customWidth="1"/>
    <col min="4093" max="4344" width="9" style="432"/>
    <col min="4345" max="4345" width="43.5" style="432" customWidth="1"/>
    <col min="4346" max="4346" width="19.5" style="432" customWidth="1"/>
    <col min="4347" max="4347" width="17.375" style="432" customWidth="1"/>
    <col min="4348" max="4348" width="50.375" style="432" customWidth="1"/>
    <col min="4349" max="4600" width="9" style="432"/>
    <col min="4601" max="4601" width="43.5" style="432" customWidth="1"/>
    <col min="4602" max="4602" width="19.5" style="432" customWidth="1"/>
    <col min="4603" max="4603" width="17.375" style="432" customWidth="1"/>
    <col min="4604" max="4604" width="50.375" style="432" customWidth="1"/>
    <col min="4605" max="4856" width="9" style="432"/>
    <col min="4857" max="4857" width="43.5" style="432" customWidth="1"/>
    <col min="4858" max="4858" width="19.5" style="432" customWidth="1"/>
    <col min="4859" max="4859" width="17.375" style="432" customWidth="1"/>
    <col min="4860" max="4860" width="50.375" style="432" customWidth="1"/>
    <col min="4861" max="5112" width="9" style="432"/>
    <col min="5113" max="5113" width="43.5" style="432" customWidth="1"/>
    <col min="5114" max="5114" width="19.5" style="432" customWidth="1"/>
    <col min="5115" max="5115" width="17.375" style="432" customWidth="1"/>
    <col min="5116" max="5116" width="50.375" style="432" customWidth="1"/>
    <col min="5117" max="5368" width="9" style="432"/>
    <col min="5369" max="5369" width="43.5" style="432" customWidth="1"/>
    <col min="5370" max="5370" width="19.5" style="432" customWidth="1"/>
    <col min="5371" max="5371" width="17.375" style="432" customWidth="1"/>
    <col min="5372" max="5372" width="50.375" style="432" customWidth="1"/>
    <col min="5373" max="5624" width="9" style="432"/>
    <col min="5625" max="5625" width="43.5" style="432" customWidth="1"/>
    <col min="5626" max="5626" width="19.5" style="432" customWidth="1"/>
    <col min="5627" max="5627" width="17.375" style="432" customWidth="1"/>
    <col min="5628" max="5628" width="50.375" style="432" customWidth="1"/>
    <col min="5629" max="5880" width="9" style="432"/>
    <col min="5881" max="5881" width="43.5" style="432" customWidth="1"/>
    <col min="5882" max="5882" width="19.5" style="432" customWidth="1"/>
    <col min="5883" max="5883" width="17.375" style="432" customWidth="1"/>
    <col min="5884" max="5884" width="50.375" style="432" customWidth="1"/>
    <col min="5885" max="6136" width="9" style="432"/>
    <col min="6137" max="6137" width="43.5" style="432" customWidth="1"/>
    <col min="6138" max="6138" width="19.5" style="432" customWidth="1"/>
    <col min="6139" max="6139" width="17.375" style="432" customWidth="1"/>
    <col min="6140" max="6140" width="50.375" style="432" customWidth="1"/>
    <col min="6141" max="6392" width="9" style="432"/>
    <col min="6393" max="6393" width="43.5" style="432" customWidth="1"/>
    <col min="6394" max="6394" width="19.5" style="432" customWidth="1"/>
    <col min="6395" max="6395" width="17.375" style="432" customWidth="1"/>
    <col min="6396" max="6396" width="50.375" style="432" customWidth="1"/>
    <col min="6397" max="6648" width="9" style="432"/>
    <col min="6649" max="6649" width="43.5" style="432" customWidth="1"/>
    <col min="6650" max="6650" width="19.5" style="432" customWidth="1"/>
    <col min="6651" max="6651" width="17.375" style="432" customWidth="1"/>
    <col min="6652" max="6652" width="50.375" style="432" customWidth="1"/>
    <col min="6653" max="6904" width="9" style="432"/>
    <col min="6905" max="6905" width="43.5" style="432" customWidth="1"/>
    <col min="6906" max="6906" width="19.5" style="432" customWidth="1"/>
    <col min="6907" max="6907" width="17.375" style="432" customWidth="1"/>
    <col min="6908" max="6908" width="50.375" style="432" customWidth="1"/>
    <col min="6909" max="7160" width="9" style="432"/>
    <col min="7161" max="7161" width="43.5" style="432" customWidth="1"/>
    <col min="7162" max="7162" width="19.5" style="432" customWidth="1"/>
    <col min="7163" max="7163" width="17.375" style="432" customWidth="1"/>
    <col min="7164" max="7164" width="50.375" style="432" customWidth="1"/>
    <col min="7165" max="7416" width="9" style="432"/>
    <col min="7417" max="7417" width="43.5" style="432" customWidth="1"/>
    <col min="7418" max="7418" width="19.5" style="432" customWidth="1"/>
    <col min="7419" max="7419" width="17.375" style="432" customWidth="1"/>
    <col min="7420" max="7420" width="50.375" style="432" customWidth="1"/>
    <col min="7421" max="7672" width="9" style="432"/>
    <col min="7673" max="7673" width="43.5" style="432" customWidth="1"/>
    <col min="7674" max="7674" width="19.5" style="432" customWidth="1"/>
    <col min="7675" max="7675" width="17.375" style="432" customWidth="1"/>
    <col min="7676" max="7676" width="50.375" style="432" customWidth="1"/>
    <col min="7677" max="7928" width="9" style="432"/>
    <col min="7929" max="7929" width="43.5" style="432" customWidth="1"/>
    <col min="7930" max="7930" width="19.5" style="432" customWidth="1"/>
    <col min="7931" max="7931" width="17.375" style="432" customWidth="1"/>
    <col min="7932" max="7932" width="50.375" style="432" customWidth="1"/>
    <col min="7933" max="8184" width="9" style="432"/>
    <col min="8185" max="8185" width="43.5" style="432" customWidth="1"/>
    <col min="8186" max="8186" width="19.5" style="432" customWidth="1"/>
    <col min="8187" max="8187" width="17.375" style="432" customWidth="1"/>
    <col min="8188" max="8188" width="50.375" style="432" customWidth="1"/>
    <col min="8189" max="8440" width="9" style="432"/>
    <col min="8441" max="8441" width="43.5" style="432" customWidth="1"/>
    <col min="8442" max="8442" width="19.5" style="432" customWidth="1"/>
    <col min="8443" max="8443" width="17.375" style="432" customWidth="1"/>
    <col min="8444" max="8444" width="50.375" style="432" customWidth="1"/>
    <col min="8445" max="8696" width="9" style="432"/>
    <col min="8697" max="8697" width="43.5" style="432" customWidth="1"/>
    <col min="8698" max="8698" width="19.5" style="432" customWidth="1"/>
    <col min="8699" max="8699" width="17.375" style="432" customWidth="1"/>
    <col min="8700" max="8700" width="50.375" style="432" customWidth="1"/>
    <col min="8701" max="8952" width="9" style="432"/>
    <col min="8953" max="8953" width="43.5" style="432" customWidth="1"/>
    <col min="8954" max="8954" width="19.5" style="432" customWidth="1"/>
    <col min="8955" max="8955" width="17.375" style="432" customWidth="1"/>
    <col min="8956" max="8956" width="50.375" style="432" customWidth="1"/>
    <col min="8957" max="9208" width="9" style="432"/>
    <col min="9209" max="9209" width="43.5" style="432" customWidth="1"/>
    <col min="9210" max="9210" width="19.5" style="432" customWidth="1"/>
    <col min="9211" max="9211" width="17.375" style="432" customWidth="1"/>
    <col min="9212" max="9212" width="50.375" style="432" customWidth="1"/>
    <col min="9213" max="9464" width="9" style="432"/>
    <col min="9465" max="9465" width="43.5" style="432" customWidth="1"/>
    <col min="9466" max="9466" width="19.5" style="432" customWidth="1"/>
    <col min="9467" max="9467" width="17.375" style="432" customWidth="1"/>
    <col min="9468" max="9468" width="50.375" style="432" customWidth="1"/>
    <col min="9469" max="9720" width="9" style="432"/>
    <col min="9721" max="9721" width="43.5" style="432" customWidth="1"/>
    <col min="9722" max="9722" width="19.5" style="432" customWidth="1"/>
    <col min="9723" max="9723" width="17.375" style="432" customWidth="1"/>
    <col min="9724" max="9724" width="50.375" style="432" customWidth="1"/>
    <col min="9725" max="9976" width="9" style="432"/>
    <col min="9977" max="9977" width="43.5" style="432" customWidth="1"/>
    <col min="9978" max="9978" width="19.5" style="432" customWidth="1"/>
    <col min="9979" max="9979" width="17.375" style="432" customWidth="1"/>
    <col min="9980" max="9980" width="50.375" style="432" customWidth="1"/>
    <col min="9981" max="10232" width="9" style="432"/>
    <col min="10233" max="10233" width="43.5" style="432" customWidth="1"/>
    <col min="10234" max="10234" width="19.5" style="432" customWidth="1"/>
    <col min="10235" max="10235" width="17.375" style="432" customWidth="1"/>
    <col min="10236" max="10236" width="50.375" style="432" customWidth="1"/>
    <col min="10237" max="10488" width="9" style="432"/>
    <col min="10489" max="10489" width="43.5" style="432" customWidth="1"/>
    <col min="10490" max="10490" width="19.5" style="432" customWidth="1"/>
    <col min="10491" max="10491" width="17.375" style="432" customWidth="1"/>
    <col min="10492" max="10492" width="50.375" style="432" customWidth="1"/>
    <col min="10493" max="10744" width="9" style="432"/>
    <col min="10745" max="10745" width="43.5" style="432" customWidth="1"/>
    <col min="10746" max="10746" width="19.5" style="432" customWidth="1"/>
    <col min="10747" max="10747" width="17.375" style="432" customWidth="1"/>
    <col min="10748" max="10748" width="50.375" style="432" customWidth="1"/>
    <col min="10749" max="11000" width="9" style="432"/>
    <col min="11001" max="11001" width="43.5" style="432" customWidth="1"/>
    <col min="11002" max="11002" width="19.5" style="432" customWidth="1"/>
    <col min="11003" max="11003" width="17.375" style="432" customWidth="1"/>
    <col min="11004" max="11004" width="50.375" style="432" customWidth="1"/>
    <col min="11005" max="11256" width="9" style="432"/>
    <col min="11257" max="11257" width="43.5" style="432" customWidth="1"/>
    <col min="11258" max="11258" width="19.5" style="432" customWidth="1"/>
    <col min="11259" max="11259" width="17.375" style="432" customWidth="1"/>
    <col min="11260" max="11260" width="50.375" style="432" customWidth="1"/>
    <col min="11261" max="11512" width="9" style="432"/>
    <col min="11513" max="11513" width="43.5" style="432" customWidth="1"/>
    <col min="11514" max="11514" width="19.5" style="432" customWidth="1"/>
    <col min="11515" max="11515" width="17.375" style="432" customWidth="1"/>
    <col min="11516" max="11516" width="50.375" style="432" customWidth="1"/>
    <col min="11517" max="11768" width="9" style="432"/>
    <col min="11769" max="11769" width="43.5" style="432" customWidth="1"/>
    <col min="11770" max="11770" width="19.5" style="432" customWidth="1"/>
    <col min="11771" max="11771" width="17.375" style="432" customWidth="1"/>
    <col min="11772" max="11772" width="50.375" style="432" customWidth="1"/>
    <col min="11773" max="12024" width="9" style="432"/>
    <col min="12025" max="12025" width="43.5" style="432" customWidth="1"/>
    <col min="12026" max="12026" width="19.5" style="432" customWidth="1"/>
    <col min="12027" max="12027" width="17.375" style="432" customWidth="1"/>
    <col min="12028" max="12028" width="50.375" style="432" customWidth="1"/>
    <col min="12029" max="12280" width="9" style="432"/>
    <col min="12281" max="12281" width="43.5" style="432" customWidth="1"/>
    <col min="12282" max="12282" width="19.5" style="432" customWidth="1"/>
    <col min="12283" max="12283" width="17.375" style="432" customWidth="1"/>
    <col min="12284" max="12284" width="50.375" style="432" customWidth="1"/>
    <col min="12285" max="12536" width="9" style="432"/>
    <col min="12537" max="12537" width="43.5" style="432" customWidth="1"/>
    <col min="12538" max="12538" width="19.5" style="432" customWidth="1"/>
    <col min="12539" max="12539" width="17.375" style="432" customWidth="1"/>
    <col min="12540" max="12540" width="50.375" style="432" customWidth="1"/>
    <col min="12541" max="12792" width="9" style="432"/>
    <col min="12793" max="12793" width="43.5" style="432" customWidth="1"/>
    <col min="12794" max="12794" width="19.5" style="432" customWidth="1"/>
    <col min="12795" max="12795" width="17.375" style="432" customWidth="1"/>
    <col min="12796" max="12796" width="50.375" style="432" customWidth="1"/>
    <col min="12797" max="13048" width="9" style="432"/>
    <col min="13049" max="13049" width="43.5" style="432" customWidth="1"/>
    <col min="13050" max="13050" width="19.5" style="432" customWidth="1"/>
    <col min="13051" max="13051" width="17.375" style="432" customWidth="1"/>
    <col min="13052" max="13052" width="50.375" style="432" customWidth="1"/>
    <col min="13053" max="13304" width="9" style="432"/>
    <col min="13305" max="13305" width="43.5" style="432" customWidth="1"/>
    <col min="13306" max="13306" width="19.5" style="432" customWidth="1"/>
    <col min="13307" max="13307" width="17.375" style="432" customWidth="1"/>
    <col min="13308" max="13308" width="50.375" style="432" customWidth="1"/>
    <col min="13309" max="13560" width="9" style="432"/>
    <col min="13561" max="13561" width="43.5" style="432" customWidth="1"/>
    <col min="13562" max="13562" width="19.5" style="432" customWidth="1"/>
    <col min="13563" max="13563" width="17.375" style="432" customWidth="1"/>
    <col min="13564" max="13564" width="50.375" style="432" customWidth="1"/>
    <col min="13565" max="13816" width="9" style="432"/>
    <col min="13817" max="13817" width="43.5" style="432" customWidth="1"/>
    <col min="13818" max="13818" width="19.5" style="432" customWidth="1"/>
    <col min="13819" max="13819" width="17.375" style="432" customWidth="1"/>
    <col min="13820" max="13820" width="50.375" style="432" customWidth="1"/>
    <col min="13821" max="14072" width="9" style="432"/>
    <col min="14073" max="14073" width="43.5" style="432" customWidth="1"/>
    <col min="14074" max="14074" width="19.5" style="432" customWidth="1"/>
    <col min="14075" max="14075" width="17.375" style="432" customWidth="1"/>
    <col min="14076" max="14076" width="50.375" style="432" customWidth="1"/>
    <col min="14077" max="14328" width="9" style="432"/>
    <col min="14329" max="14329" width="43.5" style="432" customWidth="1"/>
    <col min="14330" max="14330" width="19.5" style="432" customWidth="1"/>
    <col min="14331" max="14331" width="17.375" style="432" customWidth="1"/>
    <col min="14332" max="14332" width="50.375" style="432" customWidth="1"/>
    <col min="14333" max="14584" width="9" style="432"/>
    <col min="14585" max="14585" width="43.5" style="432" customWidth="1"/>
    <col min="14586" max="14586" width="19.5" style="432" customWidth="1"/>
    <col min="14587" max="14587" width="17.375" style="432" customWidth="1"/>
    <col min="14588" max="14588" width="50.375" style="432" customWidth="1"/>
    <col min="14589" max="14840" width="9" style="432"/>
    <col min="14841" max="14841" width="43.5" style="432" customWidth="1"/>
    <col min="14842" max="14842" width="19.5" style="432" customWidth="1"/>
    <col min="14843" max="14843" width="17.375" style="432" customWidth="1"/>
    <col min="14844" max="14844" width="50.375" style="432" customWidth="1"/>
    <col min="14845" max="15096" width="9" style="432"/>
    <col min="15097" max="15097" width="43.5" style="432" customWidth="1"/>
    <col min="15098" max="15098" width="19.5" style="432" customWidth="1"/>
    <col min="15099" max="15099" width="17.375" style="432" customWidth="1"/>
    <col min="15100" max="15100" width="50.375" style="432" customWidth="1"/>
    <col min="15101" max="15352" width="9" style="432"/>
    <col min="15353" max="15353" width="43.5" style="432" customWidth="1"/>
    <col min="15354" max="15354" width="19.5" style="432" customWidth="1"/>
    <col min="15355" max="15355" width="17.375" style="432" customWidth="1"/>
    <col min="15356" max="15356" width="50.375" style="432" customWidth="1"/>
    <col min="15357" max="15608" width="9" style="432"/>
    <col min="15609" max="15609" width="43.5" style="432" customWidth="1"/>
    <col min="15610" max="15610" width="19.5" style="432" customWidth="1"/>
    <col min="15611" max="15611" width="17.375" style="432" customWidth="1"/>
    <col min="15612" max="15612" width="50.375" style="432" customWidth="1"/>
    <col min="15613" max="15864" width="9" style="432"/>
    <col min="15865" max="15865" width="43.5" style="432" customWidth="1"/>
    <col min="15866" max="15866" width="19.5" style="432" customWidth="1"/>
    <col min="15867" max="15867" width="17.375" style="432" customWidth="1"/>
    <col min="15868" max="15868" width="50.375" style="432" customWidth="1"/>
    <col min="15869" max="16120" width="9" style="432"/>
    <col min="16121" max="16121" width="43.5" style="432" customWidth="1"/>
    <col min="16122" max="16122" width="19.5" style="432" customWidth="1"/>
    <col min="16123" max="16123" width="17.375" style="432" customWidth="1"/>
    <col min="16124" max="16124" width="50.375" style="432" customWidth="1"/>
    <col min="16125" max="16384" width="9" style="432"/>
  </cols>
  <sheetData>
    <row r="1" spans="1:6" ht="31.5" customHeight="1" x14ac:dyDescent="0.25">
      <c r="A1" s="1006" t="s">
        <v>741</v>
      </c>
      <c r="B1" s="1006"/>
      <c r="C1" s="1006"/>
      <c r="D1" s="1000"/>
      <c r="E1" s="1000"/>
    </row>
    <row r="2" spans="1:6" ht="16.5" thickBot="1" x14ac:dyDescent="0.3"/>
    <row r="3" spans="1:6" s="243" customFormat="1" ht="62.25" customHeight="1" thickBot="1" x14ac:dyDescent="0.3">
      <c r="A3" s="241" t="s">
        <v>136</v>
      </c>
      <c r="B3" s="435" t="s">
        <v>368</v>
      </c>
      <c r="C3" s="241" t="s">
        <v>347</v>
      </c>
      <c r="D3" s="223" t="s">
        <v>348</v>
      </c>
      <c r="E3" s="241" t="s">
        <v>821</v>
      </c>
    </row>
    <row r="4" spans="1:6" s="225" customFormat="1" ht="21" customHeight="1" x14ac:dyDescent="0.25">
      <c r="A4" s="1001" t="s">
        <v>742</v>
      </c>
      <c r="B4" s="1002"/>
      <c r="C4" s="224"/>
      <c r="D4" s="224"/>
      <c r="E4" s="224"/>
    </row>
    <row r="5" spans="1:6" s="228" customFormat="1" ht="47.25" x14ac:dyDescent="0.25">
      <c r="A5" s="226" t="s">
        <v>743</v>
      </c>
      <c r="B5" s="227" t="s">
        <v>744</v>
      </c>
      <c r="C5" s="97">
        <v>3000</v>
      </c>
      <c r="D5" s="97"/>
      <c r="E5" s="97">
        <f>D5+C5</f>
        <v>3000</v>
      </c>
    </row>
    <row r="6" spans="1:6" s="228" customFormat="1" ht="47.25" x14ac:dyDescent="0.25">
      <c r="A6" s="229"/>
      <c r="B6" s="227" t="s">
        <v>745</v>
      </c>
      <c r="C6" s="97">
        <v>13000</v>
      </c>
      <c r="D6" s="97"/>
      <c r="E6" s="97">
        <f t="shared" ref="E6:E54" si="0">D6+C6</f>
        <v>13000</v>
      </c>
    </row>
    <row r="7" spans="1:6" s="228" customFormat="1" ht="47.25" x14ac:dyDescent="0.25">
      <c r="A7" s="229"/>
      <c r="B7" s="227" t="s">
        <v>746</v>
      </c>
      <c r="C7" s="97">
        <v>3827</v>
      </c>
      <c r="D7" s="97"/>
      <c r="E7" s="97">
        <f t="shared" si="0"/>
        <v>3827</v>
      </c>
    </row>
    <row r="8" spans="1:6" s="228" customFormat="1" ht="94.5" x14ac:dyDescent="0.25">
      <c r="A8" s="229"/>
      <c r="B8" s="227" t="s">
        <v>932</v>
      </c>
      <c r="C8" s="97">
        <v>222841</v>
      </c>
      <c r="D8" s="97">
        <v>0</v>
      </c>
      <c r="E8" s="97">
        <f t="shared" si="0"/>
        <v>222841</v>
      </c>
    </row>
    <row r="9" spans="1:6" s="228" customFormat="1" ht="76.5" customHeight="1" x14ac:dyDescent="0.25">
      <c r="A9" s="229"/>
      <c r="B9" s="227" t="s">
        <v>747</v>
      </c>
      <c r="C9" s="97">
        <v>25997</v>
      </c>
      <c r="D9" s="97"/>
      <c r="E9" s="97">
        <f t="shared" si="0"/>
        <v>25997</v>
      </c>
    </row>
    <row r="10" spans="1:6" s="228" customFormat="1" ht="33" customHeight="1" x14ac:dyDescent="0.25">
      <c r="A10" s="229"/>
      <c r="B10" s="227" t="s">
        <v>748</v>
      </c>
      <c r="C10" s="97">
        <v>65000</v>
      </c>
      <c r="D10" s="97"/>
      <c r="E10" s="97">
        <f t="shared" si="0"/>
        <v>65000</v>
      </c>
    </row>
    <row r="11" spans="1:6" s="228" customFormat="1" ht="30.75" customHeight="1" x14ac:dyDescent="0.25">
      <c r="A11" s="229"/>
      <c r="B11" s="227" t="s">
        <v>749</v>
      </c>
      <c r="C11" s="97">
        <v>500</v>
      </c>
      <c r="D11" s="97"/>
      <c r="E11" s="97">
        <f t="shared" si="0"/>
        <v>500</v>
      </c>
    </row>
    <row r="12" spans="1:6" s="228" customFormat="1" x14ac:dyDescent="0.25">
      <c r="A12" s="229"/>
      <c r="B12" s="227"/>
      <c r="C12" s="97"/>
      <c r="D12" s="97"/>
      <c r="E12" s="97">
        <f t="shared" si="0"/>
        <v>0</v>
      </c>
    </row>
    <row r="13" spans="1:6" s="232" customFormat="1" x14ac:dyDescent="0.25">
      <c r="A13" s="226"/>
      <c r="B13" s="230" t="s">
        <v>369</v>
      </c>
      <c r="C13" s="231">
        <f>SUM(C5:C12)</f>
        <v>334165</v>
      </c>
      <c r="D13" s="231">
        <f>SUM(D5:D12)</f>
        <v>0</v>
      </c>
      <c r="E13" s="98">
        <f t="shared" si="0"/>
        <v>334165</v>
      </c>
    </row>
    <row r="14" spans="1:6" s="228" customFormat="1" x14ac:dyDescent="0.25">
      <c r="A14" s="229"/>
      <c r="B14" s="227"/>
      <c r="C14" s="97"/>
      <c r="D14" s="97"/>
      <c r="E14" s="97"/>
    </row>
    <row r="15" spans="1:6" s="228" customFormat="1" ht="31.5" x14ac:dyDescent="0.25">
      <c r="A15" s="226" t="s">
        <v>409</v>
      </c>
      <c r="B15" s="227" t="s">
        <v>637</v>
      </c>
      <c r="C15" s="97">
        <v>0</v>
      </c>
      <c r="D15" s="97">
        <v>0</v>
      </c>
      <c r="E15" s="97">
        <f t="shared" si="0"/>
        <v>0</v>
      </c>
      <c r="F15" s="493" t="s">
        <v>934</v>
      </c>
    </row>
    <row r="16" spans="1:6" s="228" customFormat="1" x14ac:dyDescent="0.25">
      <c r="A16" s="229"/>
      <c r="B16" s="230" t="s">
        <v>369</v>
      </c>
      <c r="C16" s="231">
        <f t="shared" ref="C16:D16" si="1">SUM(C15)</f>
        <v>0</v>
      </c>
      <c r="D16" s="231">
        <f t="shared" si="1"/>
        <v>0</v>
      </c>
      <c r="E16" s="98">
        <f t="shared" si="0"/>
        <v>0</v>
      </c>
    </row>
    <row r="17" spans="1:6" s="228" customFormat="1" x14ac:dyDescent="0.25">
      <c r="A17" s="229"/>
      <c r="B17" s="230"/>
      <c r="C17" s="231"/>
      <c r="D17" s="231"/>
      <c r="E17" s="97"/>
    </row>
    <row r="18" spans="1:6" s="228" customFormat="1" ht="31.5" x14ac:dyDescent="0.25">
      <c r="A18" s="226" t="s">
        <v>750</v>
      </c>
      <c r="B18" s="227" t="s">
        <v>751</v>
      </c>
      <c r="C18" s="97">
        <v>12000</v>
      </c>
      <c r="D18" s="97"/>
      <c r="E18" s="97">
        <f t="shared" si="0"/>
        <v>12000</v>
      </c>
    </row>
    <row r="19" spans="1:6" s="228" customFormat="1" x14ac:dyDescent="0.25">
      <c r="A19" s="229"/>
      <c r="B19" s="230" t="s">
        <v>369</v>
      </c>
      <c r="C19" s="231">
        <f t="shared" ref="C19:D19" si="2">SUM(C18)</f>
        <v>12000</v>
      </c>
      <c r="D19" s="231">
        <f t="shared" si="2"/>
        <v>0</v>
      </c>
      <c r="E19" s="98">
        <f t="shared" si="0"/>
        <v>12000</v>
      </c>
    </row>
    <row r="20" spans="1:6" s="228" customFormat="1" x14ac:dyDescent="0.25">
      <c r="A20" s="229"/>
      <c r="B20" s="230"/>
      <c r="C20" s="231"/>
      <c r="D20" s="231"/>
      <c r="E20" s="97">
        <f t="shared" si="0"/>
        <v>0</v>
      </c>
    </row>
    <row r="21" spans="1:6" s="228" customFormat="1" ht="31.5" x14ac:dyDescent="0.25">
      <c r="A21" s="226" t="s">
        <v>638</v>
      </c>
      <c r="B21" s="227" t="s">
        <v>639</v>
      </c>
      <c r="C21" s="97">
        <v>6757</v>
      </c>
      <c r="D21" s="97"/>
      <c r="E21" s="97">
        <f t="shared" si="0"/>
        <v>6757</v>
      </c>
    </row>
    <row r="22" spans="1:6" s="228" customFormat="1" x14ac:dyDescent="0.25">
      <c r="A22" s="229"/>
      <c r="B22" s="230" t="s">
        <v>369</v>
      </c>
      <c r="C22" s="231">
        <f>SUM(C21:C21)</f>
        <v>6757</v>
      </c>
      <c r="D22" s="231">
        <f>SUM(D21:D21)</f>
        <v>0</v>
      </c>
      <c r="E22" s="98">
        <f t="shared" si="0"/>
        <v>6757</v>
      </c>
    </row>
    <row r="23" spans="1:6" s="228" customFormat="1" x14ac:dyDescent="0.25">
      <c r="A23" s="229"/>
      <c r="B23" s="230"/>
      <c r="C23" s="231"/>
      <c r="D23" s="231"/>
      <c r="E23" s="97"/>
    </row>
    <row r="24" spans="1:6" s="228" customFormat="1" x14ac:dyDescent="0.25">
      <c r="A24" s="226" t="s">
        <v>405</v>
      </c>
      <c r="B24" s="227" t="s">
        <v>640</v>
      </c>
      <c r="C24" s="97">
        <v>0</v>
      </c>
      <c r="D24" s="97">
        <v>0</v>
      </c>
      <c r="E24" s="97">
        <f t="shared" si="0"/>
        <v>0</v>
      </c>
      <c r="F24" s="492" t="s">
        <v>934</v>
      </c>
    </row>
    <row r="25" spans="1:6" s="228" customFormat="1" x14ac:dyDescent="0.25">
      <c r="A25" s="226"/>
      <c r="B25" s="227" t="s">
        <v>752</v>
      </c>
      <c r="C25" s="97">
        <v>0</v>
      </c>
      <c r="D25" s="97">
        <v>0</v>
      </c>
      <c r="E25" s="97">
        <f t="shared" si="0"/>
        <v>0</v>
      </c>
    </row>
    <row r="26" spans="1:6" s="228" customFormat="1" x14ac:dyDescent="0.25">
      <c r="A26" s="229"/>
      <c r="B26" s="230" t="s">
        <v>369</v>
      </c>
      <c r="C26" s="231">
        <f>SUM(C24:C25)</f>
        <v>0</v>
      </c>
      <c r="D26" s="231">
        <f>SUM(D24:D25)</f>
        <v>0</v>
      </c>
      <c r="E26" s="98">
        <f t="shared" si="0"/>
        <v>0</v>
      </c>
    </row>
    <row r="27" spans="1:6" s="228" customFormat="1" x14ac:dyDescent="0.25">
      <c r="A27" s="229"/>
      <c r="B27" s="230"/>
      <c r="C27" s="231"/>
      <c r="D27" s="231"/>
      <c r="E27" s="97"/>
    </row>
    <row r="28" spans="1:6" s="228" customFormat="1" ht="63" x14ac:dyDescent="0.25">
      <c r="A28" s="226" t="s">
        <v>908</v>
      </c>
      <c r="B28" s="227" t="s">
        <v>927</v>
      </c>
      <c r="C28" s="97">
        <v>5000</v>
      </c>
      <c r="D28" s="97">
        <v>0</v>
      </c>
      <c r="E28" s="97">
        <f t="shared" si="0"/>
        <v>5000</v>
      </c>
    </row>
    <row r="29" spans="1:6" s="228" customFormat="1" x14ac:dyDescent="0.25">
      <c r="A29" s="229"/>
      <c r="B29" s="230" t="s">
        <v>369</v>
      </c>
      <c r="C29" s="231">
        <f>SUM(C28:C28)</f>
        <v>5000</v>
      </c>
      <c r="D29" s="231">
        <f>SUM(D28:D28)</f>
        <v>0</v>
      </c>
      <c r="E29" s="98">
        <f t="shared" si="0"/>
        <v>5000</v>
      </c>
    </row>
    <row r="30" spans="1:6" s="228" customFormat="1" x14ac:dyDescent="0.25">
      <c r="A30" s="229"/>
      <c r="B30" s="227"/>
      <c r="C30" s="97"/>
      <c r="D30" s="97"/>
      <c r="E30" s="97"/>
    </row>
    <row r="31" spans="1:6" s="228" customFormat="1" ht="31.5" x14ac:dyDescent="0.25">
      <c r="A31" s="226" t="s">
        <v>641</v>
      </c>
      <c r="B31" s="227" t="s">
        <v>642</v>
      </c>
      <c r="C31" s="97">
        <v>3267</v>
      </c>
      <c r="D31" s="97"/>
      <c r="E31" s="97">
        <f t="shared" si="0"/>
        <v>3267</v>
      </c>
    </row>
    <row r="32" spans="1:6" s="228" customFormat="1" x14ac:dyDescent="0.25">
      <c r="A32" s="229"/>
      <c r="B32" s="230" t="s">
        <v>369</v>
      </c>
      <c r="C32" s="231">
        <f>SUM(C31:C31)</f>
        <v>3267</v>
      </c>
      <c r="D32" s="231">
        <f>SUM(D31:D31)</f>
        <v>0</v>
      </c>
      <c r="E32" s="98">
        <f t="shared" si="0"/>
        <v>3267</v>
      </c>
    </row>
    <row r="33" spans="1:5" s="228" customFormat="1" x14ac:dyDescent="0.25">
      <c r="A33" s="229"/>
      <c r="B33" s="227"/>
      <c r="C33" s="97"/>
      <c r="D33" s="97"/>
      <c r="E33" s="97"/>
    </row>
    <row r="34" spans="1:5" s="228" customFormat="1" x14ac:dyDescent="0.25">
      <c r="A34" s="226" t="s">
        <v>397</v>
      </c>
      <c r="B34" s="553" t="s">
        <v>753</v>
      </c>
      <c r="C34" s="97">
        <v>5635</v>
      </c>
      <c r="D34" s="97">
        <v>0</v>
      </c>
      <c r="E34" s="97">
        <f t="shared" si="0"/>
        <v>5635</v>
      </c>
    </row>
    <row r="35" spans="1:5" s="228" customFormat="1" x14ac:dyDescent="0.25">
      <c r="A35" s="229"/>
      <c r="B35" s="230" t="s">
        <v>369</v>
      </c>
      <c r="C35" s="231">
        <f>SUM(C34:C34)</f>
        <v>5635</v>
      </c>
      <c r="D35" s="231">
        <f>SUM(D34:D34)</f>
        <v>0</v>
      </c>
      <c r="E35" s="98">
        <f t="shared" si="0"/>
        <v>5635</v>
      </c>
    </row>
    <row r="36" spans="1:5" s="228" customFormat="1" x14ac:dyDescent="0.25">
      <c r="A36" s="229"/>
      <c r="B36" s="227"/>
      <c r="C36" s="97"/>
      <c r="D36" s="97"/>
      <c r="E36" s="97"/>
    </row>
    <row r="37" spans="1:5" s="228" customFormat="1" x14ac:dyDescent="0.25">
      <c r="A37" s="226" t="s">
        <v>401</v>
      </c>
      <c r="B37" s="227" t="s">
        <v>754</v>
      </c>
      <c r="C37" s="97">
        <v>26399</v>
      </c>
      <c r="D37" s="97">
        <v>0</v>
      </c>
      <c r="E37" s="97">
        <f t="shared" si="0"/>
        <v>26399</v>
      </c>
    </row>
    <row r="38" spans="1:5" s="228" customFormat="1" x14ac:dyDescent="0.25">
      <c r="A38" s="226"/>
      <c r="B38" s="227" t="s">
        <v>931</v>
      </c>
      <c r="C38" s="97">
        <v>6550</v>
      </c>
      <c r="D38" s="97">
        <v>0</v>
      </c>
      <c r="E38" s="97">
        <f t="shared" ref="E38" si="3">D38+C38</f>
        <v>6550</v>
      </c>
    </row>
    <row r="39" spans="1:5" s="228" customFormat="1" x14ac:dyDescent="0.25">
      <c r="A39" s="229"/>
      <c r="B39" s="230" t="s">
        <v>369</v>
      </c>
      <c r="C39" s="231">
        <f>SUM(C37:C38)</f>
        <v>32949</v>
      </c>
      <c r="D39" s="231">
        <f t="shared" ref="D39:E39" si="4">SUM(D37:D38)</f>
        <v>0</v>
      </c>
      <c r="E39" s="98">
        <f t="shared" si="4"/>
        <v>32949</v>
      </c>
    </row>
    <row r="40" spans="1:5" s="228" customFormat="1" x14ac:dyDescent="0.25">
      <c r="A40" s="229"/>
      <c r="B40" s="227"/>
      <c r="C40" s="97"/>
      <c r="D40" s="97"/>
      <c r="E40" s="97"/>
    </row>
    <row r="41" spans="1:5" s="228" customFormat="1" x14ac:dyDescent="0.25">
      <c r="A41" s="226" t="s">
        <v>396</v>
      </c>
      <c r="B41" s="227" t="s">
        <v>930</v>
      </c>
      <c r="C41" s="97">
        <v>889</v>
      </c>
      <c r="D41" s="97">
        <v>0</v>
      </c>
      <c r="E41" s="97">
        <f t="shared" ref="E41:E42" si="5">D41+C41</f>
        <v>889</v>
      </c>
    </row>
    <row r="42" spans="1:5" s="228" customFormat="1" x14ac:dyDescent="0.25">
      <c r="A42" s="229"/>
      <c r="B42" s="230" t="s">
        <v>369</v>
      </c>
      <c r="C42" s="231">
        <f>SUM(C41:C41)</f>
        <v>889</v>
      </c>
      <c r="D42" s="231">
        <f>SUM(D41:D41)</f>
        <v>0</v>
      </c>
      <c r="E42" s="98">
        <f t="shared" si="5"/>
        <v>889</v>
      </c>
    </row>
    <row r="43" spans="1:5" s="228" customFormat="1" ht="31.5" x14ac:dyDescent="0.25">
      <c r="A43" s="226" t="s">
        <v>643</v>
      </c>
      <c r="B43" s="227" t="s">
        <v>644</v>
      </c>
      <c r="C43" s="97">
        <v>7365</v>
      </c>
      <c r="D43" s="97"/>
      <c r="E43" s="97">
        <f t="shared" si="0"/>
        <v>7365</v>
      </c>
    </row>
    <row r="44" spans="1:5" s="228" customFormat="1" x14ac:dyDescent="0.25">
      <c r="A44" s="226"/>
      <c r="B44" s="227" t="s">
        <v>645</v>
      </c>
      <c r="C44" s="97">
        <v>6380</v>
      </c>
      <c r="D44" s="97"/>
      <c r="E44" s="97">
        <f t="shared" si="0"/>
        <v>6380</v>
      </c>
    </row>
    <row r="45" spans="1:5" s="228" customFormat="1" x14ac:dyDescent="0.25">
      <c r="A45" s="229"/>
      <c r="B45" s="230" t="s">
        <v>369</v>
      </c>
      <c r="C45" s="231">
        <f>SUM(C43:C44)</f>
        <v>13745</v>
      </c>
      <c r="D45" s="231">
        <f>SUM(D43:D44)</f>
        <v>0</v>
      </c>
      <c r="E45" s="98">
        <f t="shared" si="0"/>
        <v>13745</v>
      </c>
    </row>
    <row r="46" spans="1:5" s="228" customFormat="1" x14ac:dyDescent="0.25">
      <c r="A46" s="229"/>
      <c r="B46" s="227"/>
      <c r="C46" s="97"/>
      <c r="D46" s="97"/>
      <c r="E46" s="97"/>
    </row>
    <row r="47" spans="1:5" s="228" customFormat="1" x14ac:dyDescent="0.25">
      <c r="A47" s="226" t="s">
        <v>646</v>
      </c>
      <c r="B47" s="227" t="s">
        <v>645</v>
      </c>
      <c r="C47" s="97">
        <v>9967</v>
      </c>
      <c r="D47" s="97"/>
      <c r="E47" s="97">
        <f t="shared" si="0"/>
        <v>9967</v>
      </c>
    </row>
    <row r="48" spans="1:5" s="228" customFormat="1" x14ac:dyDescent="0.25">
      <c r="A48" s="229"/>
      <c r="B48" s="230" t="s">
        <v>369</v>
      </c>
      <c r="C48" s="231">
        <f>SUM(C47:C47)</f>
        <v>9967</v>
      </c>
      <c r="D48" s="231">
        <f>SUM(D47:D47)</f>
        <v>0</v>
      </c>
      <c r="E48" s="98">
        <f t="shared" si="0"/>
        <v>9967</v>
      </c>
    </row>
    <row r="49" spans="1:6" s="228" customFormat="1" x14ac:dyDescent="0.25">
      <c r="A49" s="229"/>
      <c r="B49" s="230"/>
      <c r="C49" s="231"/>
      <c r="D49" s="231"/>
      <c r="E49" s="97"/>
    </row>
    <row r="50" spans="1:6" s="228" customFormat="1" ht="31.5" x14ac:dyDescent="0.25">
      <c r="A50" s="226" t="s">
        <v>479</v>
      </c>
      <c r="B50" s="227" t="s">
        <v>650</v>
      </c>
      <c r="C50" s="97">
        <v>15987</v>
      </c>
      <c r="D50" s="97"/>
      <c r="E50" s="97">
        <f t="shared" si="0"/>
        <v>15987</v>
      </c>
    </row>
    <row r="51" spans="1:6" s="228" customFormat="1" x14ac:dyDescent="0.25">
      <c r="A51" s="229"/>
      <c r="B51" s="230" t="s">
        <v>369</v>
      </c>
      <c r="C51" s="231">
        <f>SUM(C50:C50)</f>
        <v>15987</v>
      </c>
      <c r="D51" s="231">
        <f>SUM(D50:D50)</f>
        <v>0</v>
      </c>
      <c r="E51" s="98">
        <f t="shared" si="0"/>
        <v>15987</v>
      </c>
    </row>
    <row r="52" spans="1:6" s="228" customFormat="1" x14ac:dyDescent="0.25">
      <c r="A52" s="229"/>
      <c r="B52" s="230"/>
      <c r="C52" s="231"/>
      <c r="D52" s="231"/>
      <c r="E52" s="97"/>
    </row>
    <row r="53" spans="1:6" s="228" customFormat="1" ht="62.25" customHeight="1" x14ac:dyDescent="0.25">
      <c r="A53" s="226" t="s">
        <v>755</v>
      </c>
      <c r="B53" s="227" t="s">
        <v>938</v>
      </c>
      <c r="C53" s="97">
        <v>600000</v>
      </c>
      <c r="D53" s="97"/>
      <c r="E53" s="97">
        <f t="shared" si="0"/>
        <v>600000</v>
      </c>
    </row>
    <row r="54" spans="1:6" s="228" customFormat="1" ht="67.5" customHeight="1" x14ac:dyDescent="0.25">
      <c r="A54" s="229"/>
      <c r="B54" s="227" t="s">
        <v>941</v>
      </c>
      <c r="C54" s="97">
        <v>30507</v>
      </c>
      <c r="D54" s="97">
        <v>0</v>
      </c>
      <c r="E54" s="97">
        <f t="shared" si="0"/>
        <v>30507</v>
      </c>
      <c r="F54" s="492" t="s">
        <v>943</v>
      </c>
    </row>
    <row r="55" spans="1:6" s="228" customFormat="1" x14ac:dyDescent="0.25">
      <c r="A55" s="229"/>
      <c r="B55" s="230" t="s">
        <v>369</v>
      </c>
      <c r="C55" s="231">
        <f>SUM(C53:C54)</f>
        <v>630507</v>
      </c>
      <c r="D55" s="231">
        <f>SUM(D53:D54)</f>
        <v>0</v>
      </c>
      <c r="E55" s="98">
        <f t="shared" ref="E55:E102" si="6">D55+C55</f>
        <v>630507</v>
      </c>
    </row>
    <row r="56" spans="1:6" s="228" customFormat="1" x14ac:dyDescent="0.25">
      <c r="A56" s="229"/>
      <c r="B56" s="227"/>
      <c r="C56" s="97"/>
      <c r="D56" s="97"/>
      <c r="E56" s="97"/>
    </row>
    <row r="57" spans="1:6" s="228" customFormat="1" x14ac:dyDescent="0.25">
      <c r="A57" s="226" t="s">
        <v>939</v>
      </c>
      <c r="B57" s="227" t="s">
        <v>942</v>
      </c>
      <c r="C57" s="97">
        <v>12598</v>
      </c>
      <c r="D57" s="97">
        <v>0</v>
      </c>
      <c r="E57" s="97">
        <f t="shared" ref="E57:E58" si="7">D57+C57</f>
        <v>12598</v>
      </c>
    </row>
    <row r="58" spans="1:6" s="228" customFormat="1" x14ac:dyDescent="0.25">
      <c r="A58" s="229"/>
      <c r="B58" s="230" t="s">
        <v>369</v>
      </c>
      <c r="C58" s="231">
        <f>SUM(C57:C57)</f>
        <v>12598</v>
      </c>
      <c r="D58" s="231">
        <f>SUM(D57:D57)</f>
        <v>0</v>
      </c>
      <c r="E58" s="98">
        <f t="shared" si="7"/>
        <v>12598</v>
      </c>
    </row>
    <row r="59" spans="1:6" s="228" customFormat="1" x14ac:dyDescent="0.25">
      <c r="A59" s="229"/>
      <c r="B59" s="230"/>
      <c r="C59" s="231"/>
      <c r="D59" s="231"/>
      <c r="E59" s="98"/>
    </row>
    <row r="60" spans="1:6" s="228" customFormat="1" x14ac:dyDescent="0.25">
      <c r="A60" s="226" t="s">
        <v>940</v>
      </c>
      <c r="B60" s="227" t="s">
        <v>942</v>
      </c>
      <c r="C60" s="97">
        <v>2208</v>
      </c>
      <c r="D60" s="97">
        <v>0</v>
      </c>
      <c r="E60" s="97">
        <f t="shared" ref="E60:E61" si="8">D60+C60</f>
        <v>2208</v>
      </c>
    </row>
    <row r="61" spans="1:6" s="228" customFormat="1" x14ac:dyDescent="0.25">
      <c r="A61" s="229"/>
      <c r="B61" s="230" t="s">
        <v>369</v>
      </c>
      <c r="C61" s="231">
        <f>SUM(C60:C60)</f>
        <v>2208</v>
      </c>
      <c r="D61" s="231">
        <f>SUM(D60:D60)</f>
        <v>0</v>
      </c>
      <c r="E61" s="98">
        <f t="shared" si="8"/>
        <v>2208</v>
      </c>
    </row>
    <row r="62" spans="1:6" s="228" customFormat="1" x14ac:dyDescent="0.25">
      <c r="A62" s="229"/>
      <c r="B62" s="230"/>
      <c r="C62" s="231"/>
      <c r="D62" s="231"/>
      <c r="E62" s="98"/>
    </row>
    <row r="63" spans="1:6" s="228" customFormat="1" x14ac:dyDescent="0.25">
      <c r="A63" s="226" t="s">
        <v>647</v>
      </c>
      <c r="B63" s="227" t="s">
        <v>648</v>
      </c>
      <c r="C63" s="97">
        <v>22000</v>
      </c>
      <c r="D63" s="97">
        <v>0</v>
      </c>
      <c r="E63" s="97">
        <f t="shared" si="6"/>
        <v>22000</v>
      </c>
    </row>
    <row r="64" spans="1:6" s="228" customFormat="1" x14ac:dyDescent="0.25">
      <c r="A64" s="229"/>
      <c r="B64" s="230" t="s">
        <v>369</v>
      </c>
      <c r="C64" s="231">
        <f>SUM(C63:C63)</f>
        <v>22000</v>
      </c>
      <c r="D64" s="231">
        <f>SUM(D63:D63)</f>
        <v>0</v>
      </c>
      <c r="E64" s="98">
        <f t="shared" si="6"/>
        <v>22000</v>
      </c>
    </row>
    <row r="65" spans="1:5" s="228" customFormat="1" x14ac:dyDescent="0.25">
      <c r="A65" s="229"/>
      <c r="B65" s="227"/>
      <c r="C65" s="97"/>
      <c r="D65" s="97"/>
      <c r="E65" s="97"/>
    </row>
    <row r="66" spans="1:5" s="228" customFormat="1" ht="31.5" x14ac:dyDescent="0.25">
      <c r="A66" s="226" t="s">
        <v>756</v>
      </c>
      <c r="B66" s="227" t="s">
        <v>370</v>
      </c>
      <c r="C66" s="97">
        <v>52661</v>
      </c>
      <c r="D66" s="97"/>
      <c r="E66" s="97">
        <f t="shared" si="6"/>
        <v>52661</v>
      </c>
    </row>
    <row r="67" spans="1:5" s="232" customFormat="1" x14ac:dyDescent="0.25">
      <c r="A67" s="226"/>
      <c r="B67" s="230" t="s">
        <v>369</v>
      </c>
      <c r="C67" s="98">
        <f>SUM(C66:C66)</f>
        <v>52661</v>
      </c>
      <c r="D67" s="98">
        <f>SUM(D66:D66)</f>
        <v>0</v>
      </c>
      <c r="E67" s="98">
        <f t="shared" si="6"/>
        <v>52661</v>
      </c>
    </row>
    <row r="68" spans="1:5" s="228" customFormat="1" x14ac:dyDescent="0.25">
      <c r="A68" s="229"/>
      <c r="B68" s="227"/>
      <c r="C68" s="97"/>
      <c r="D68" s="97"/>
      <c r="E68" s="97"/>
    </row>
    <row r="69" spans="1:5" s="228" customFormat="1" x14ac:dyDescent="0.25">
      <c r="A69" s="226" t="s">
        <v>390</v>
      </c>
      <c r="B69" s="227" t="s">
        <v>649</v>
      </c>
      <c r="C69" s="97">
        <v>37726</v>
      </c>
      <c r="D69" s="97"/>
      <c r="E69" s="97">
        <f t="shared" si="6"/>
        <v>37726</v>
      </c>
    </row>
    <row r="70" spans="1:5" s="228" customFormat="1" ht="31.5" x14ac:dyDescent="0.25">
      <c r="A70" s="226"/>
      <c r="B70" s="227" t="s">
        <v>757</v>
      </c>
      <c r="C70" s="97">
        <v>62958</v>
      </c>
      <c r="D70" s="97"/>
      <c r="E70" s="97">
        <f t="shared" si="6"/>
        <v>62958</v>
      </c>
    </row>
    <row r="71" spans="1:5" s="232" customFormat="1" x14ac:dyDescent="0.25">
      <c r="A71" s="226"/>
      <c r="B71" s="230" t="s">
        <v>369</v>
      </c>
      <c r="C71" s="98">
        <f>C69+C70</f>
        <v>100684</v>
      </c>
      <c r="D71" s="98">
        <f>D69+D70</f>
        <v>0</v>
      </c>
      <c r="E71" s="98">
        <f t="shared" si="6"/>
        <v>100684</v>
      </c>
    </row>
    <row r="72" spans="1:5" s="228" customFormat="1" x14ac:dyDescent="0.25">
      <c r="A72" s="229"/>
      <c r="B72" s="227"/>
      <c r="C72" s="97"/>
      <c r="D72" s="97"/>
      <c r="E72" s="97"/>
    </row>
    <row r="73" spans="1:5" s="228" customFormat="1" x14ac:dyDescent="0.25">
      <c r="A73" s="226" t="s">
        <v>371</v>
      </c>
      <c r="B73" s="227" t="s">
        <v>372</v>
      </c>
      <c r="C73" s="97">
        <f>14542-12300</f>
        <v>2242</v>
      </c>
      <c r="D73" s="97"/>
      <c r="E73" s="97">
        <f t="shared" si="6"/>
        <v>2242</v>
      </c>
    </row>
    <row r="74" spans="1:5" s="228" customFormat="1" x14ac:dyDescent="0.25">
      <c r="A74" s="226"/>
      <c r="B74" s="227" t="s">
        <v>758</v>
      </c>
      <c r="C74" s="97">
        <v>20000</v>
      </c>
      <c r="D74" s="97"/>
      <c r="E74" s="97">
        <f t="shared" si="6"/>
        <v>20000</v>
      </c>
    </row>
    <row r="75" spans="1:5" s="228" customFormat="1" x14ac:dyDescent="0.25">
      <c r="A75" s="229"/>
      <c r="B75" s="230" t="s">
        <v>369</v>
      </c>
      <c r="C75" s="231">
        <f>SUM(C73:C74)</f>
        <v>22242</v>
      </c>
      <c r="D75" s="231">
        <f>SUM(D73:D74)</f>
        <v>0</v>
      </c>
      <c r="E75" s="98">
        <f t="shared" si="6"/>
        <v>22242</v>
      </c>
    </row>
    <row r="76" spans="1:5" s="228" customFormat="1" x14ac:dyDescent="0.25">
      <c r="A76" s="229"/>
      <c r="B76" s="230"/>
      <c r="C76" s="231"/>
      <c r="D76" s="231"/>
      <c r="E76" s="97"/>
    </row>
    <row r="77" spans="1:5" s="228" customFormat="1" ht="31.5" customHeight="1" x14ac:dyDescent="0.25">
      <c r="A77" s="226" t="s">
        <v>389</v>
      </c>
      <c r="B77" s="234" t="s">
        <v>759</v>
      </c>
      <c r="C77" s="97">
        <v>0</v>
      </c>
      <c r="D77" s="97">
        <v>0</v>
      </c>
      <c r="E77" s="97">
        <f t="shared" si="6"/>
        <v>0</v>
      </c>
    </row>
    <row r="78" spans="1:5" s="228" customFormat="1" ht="33" customHeight="1" x14ac:dyDescent="0.25">
      <c r="A78" s="235"/>
      <c r="B78" s="227" t="s">
        <v>632</v>
      </c>
      <c r="C78" s="97">
        <f>40000-30000</f>
        <v>10000</v>
      </c>
      <c r="D78" s="97"/>
      <c r="E78" s="97">
        <f t="shared" si="6"/>
        <v>10000</v>
      </c>
    </row>
    <row r="79" spans="1:5" s="228" customFormat="1" x14ac:dyDescent="0.25">
      <c r="A79" s="236"/>
      <c r="B79" s="230" t="s">
        <v>369</v>
      </c>
      <c r="C79" s="231">
        <f>C77+C78</f>
        <v>10000</v>
      </c>
      <c r="D79" s="231">
        <f>D77+D78</f>
        <v>0</v>
      </c>
      <c r="E79" s="98">
        <f t="shared" si="6"/>
        <v>10000</v>
      </c>
    </row>
    <row r="80" spans="1:5" s="228" customFormat="1" x14ac:dyDescent="0.25">
      <c r="A80" s="229"/>
      <c r="B80" s="230"/>
      <c r="C80" s="231"/>
      <c r="D80" s="231"/>
      <c r="E80" s="97"/>
    </row>
    <row r="81" spans="1:6" s="228" customFormat="1" ht="31.5" x14ac:dyDescent="0.25">
      <c r="A81" s="226" t="s">
        <v>760</v>
      </c>
      <c r="B81" s="227" t="s">
        <v>761</v>
      </c>
      <c r="C81" s="97">
        <v>0</v>
      </c>
      <c r="D81" s="97">
        <v>0</v>
      </c>
      <c r="E81" s="97">
        <f t="shared" si="6"/>
        <v>0</v>
      </c>
      <c r="F81" s="492" t="s">
        <v>934</v>
      </c>
    </row>
    <row r="82" spans="1:6" s="228" customFormat="1" x14ac:dyDescent="0.25">
      <c r="A82" s="229"/>
      <c r="B82" s="230" t="s">
        <v>369</v>
      </c>
      <c r="C82" s="231">
        <f>+C81</f>
        <v>0</v>
      </c>
      <c r="D82" s="231">
        <f>+D81</f>
        <v>0</v>
      </c>
      <c r="E82" s="98">
        <f t="shared" si="6"/>
        <v>0</v>
      </c>
    </row>
    <row r="83" spans="1:6" s="228" customFormat="1" x14ac:dyDescent="0.25">
      <c r="A83" s="229"/>
      <c r="B83" s="230"/>
      <c r="C83" s="231"/>
      <c r="D83" s="231"/>
      <c r="E83" s="97"/>
    </row>
    <row r="84" spans="1:6" s="228" customFormat="1" x14ac:dyDescent="0.25">
      <c r="A84" s="226" t="s">
        <v>373</v>
      </c>
      <c r="B84" s="227"/>
      <c r="C84" s="98">
        <v>7376</v>
      </c>
      <c r="D84" s="98"/>
      <c r="E84" s="98">
        <f t="shared" si="6"/>
        <v>7376</v>
      </c>
    </row>
    <row r="85" spans="1:6" s="228" customFormat="1" x14ac:dyDescent="0.25">
      <c r="A85" s="226"/>
      <c r="B85" s="227"/>
      <c r="C85" s="98"/>
      <c r="D85" s="98"/>
      <c r="E85" s="98"/>
    </row>
    <row r="86" spans="1:6" s="232" customFormat="1" x14ac:dyDescent="0.25">
      <c r="A86" s="226" t="s">
        <v>374</v>
      </c>
      <c r="B86" s="227"/>
      <c r="C86" s="237">
        <f>56610-33550</f>
        <v>23060</v>
      </c>
      <c r="D86" s="237"/>
      <c r="E86" s="98">
        <f t="shared" si="6"/>
        <v>23060</v>
      </c>
    </row>
    <row r="87" spans="1:6" s="232" customFormat="1" x14ac:dyDescent="0.25">
      <c r="A87" s="226"/>
      <c r="B87" s="227"/>
      <c r="C87" s="237"/>
      <c r="D87" s="237"/>
      <c r="E87" s="97"/>
    </row>
    <row r="88" spans="1:6" s="228" customFormat="1" x14ac:dyDescent="0.25">
      <c r="A88" s="1003" t="s">
        <v>480</v>
      </c>
      <c r="B88" s="1004"/>
      <c r="C88" s="115"/>
      <c r="D88" s="115"/>
      <c r="E88" s="97"/>
    </row>
    <row r="89" spans="1:6" s="228" customFormat="1" ht="31.5" x14ac:dyDescent="0.25">
      <c r="A89" s="226" t="s">
        <v>407</v>
      </c>
      <c r="B89" s="229" t="s">
        <v>557</v>
      </c>
      <c r="C89" s="97">
        <v>977</v>
      </c>
      <c r="D89" s="97">
        <v>0</v>
      </c>
      <c r="E89" s="97">
        <f t="shared" si="6"/>
        <v>977</v>
      </c>
    </row>
    <row r="90" spans="1:6" s="232" customFormat="1" x14ac:dyDescent="0.25">
      <c r="A90" s="226"/>
      <c r="B90" s="226" t="s">
        <v>369</v>
      </c>
      <c r="C90" s="231">
        <f t="shared" ref="C90:D90" si="9">SUM(C89)</f>
        <v>977</v>
      </c>
      <c r="D90" s="231">
        <f t="shared" si="9"/>
        <v>0</v>
      </c>
      <c r="E90" s="98">
        <f t="shared" si="6"/>
        <v>977</v>
      </c>
    </row>
    <row r="91" spans="1:6" s="228" customFormat="1" x14ac:dyDescent="0.25">
      <c r="A91" s="229"/>
      <c r="B91" s="229"/>
      <c r="C91" s="97"/>
      <c r="D91" s="97"/>
      <c r="E91" s="97"/>
    </row>
    <row r="92" spans="1:6" s="228" customFormat="1" x14ac:dyDescent="0.25">
      <c r="A92" s="226" t="s">
        <v>762</v>
      </c>
      <c r="B92" s="229" t="s">
        <v>558</v>
      </c>
      <c r="C92" s="97">
        <v>2463</v>
      </c>
      <c r="D92" s="97"/>
      <c r="E92" s="97">
        <f t="shared" si="6"/>
        <v>2463</v>
      </c>
    </row>
    <row r="93" spans="1:6" s="232" customFormat="1" x14ac:dyDescent="0.25">
      <c r="A93" s="226"/>
      <c r="B93" s="226" t="s">
        <v>369</v>
      </c>
      <c r="C93" s="231">
        <f t="shared" ref="C93:D93" si="10">SUM(C92)</f>
        <v>2463</v>
      </c>
      <c r="D93" s="231">
        <f t="shared" si="10"/>
        <v>0</v>
      </c>
      <c r="E93" s="98">
        <f t="shared" si="6"/>
        <v>2463</v>
      </c>
    </row>
    <row r="94" spans="1:6" s="228" customFormat="1" x14ac:dyDescent="0.25">
      <c r="A94" s="229"/>
      <c r="B94" s="229"/>
      <c r="C94" s="97"/>
      <c r="D94" s="97"/>
      <c r="E94" s="97"/>
    </row>
    <row r="95" spans="1:6" s="228" customFormat="1" ht="31.5" x14ac:dyDescent="0.25">
      <c r="A95" s="226" t="s">
        <v>763</v>
      </c>
      <c r="B95" s="229" t="s">
        <v>559</v>
      </c>
      <c r="C95" s="97">
        <v>7181</v>
      </c>
      <c r="D95" s="97"/>
      <c r="E95" s="97">
        <f t="shared" si="6"/>
        <v>7181</v>
      </c>
    </row>
    <row r="96" spans="1:6" s="232" customFormat="1" x14ac:dyDescent="0.25">
      <c r="A96" s="226"/>
      <c r="B96" s="226" t="s">
        <v>369</v>
      </c>
      <c r="C96" s="231">
        <f t="shared" ref="C96:D96" si="11">SUM(C95)</f>
        <v>7181</v>
      </c>
      <c r="D96" s="231">
        <f t="shared" si="11"/>
        <v>0</v>
      </c>
      <c r="E96" s="98">
        <f t="shared" si="6"/>
        <v>7181</v>
      </c>
    </row>
    <row r="97" spans="1:8" s="228" customFormat="1" x14ac:dyDescent="0.25">
      <c r="A97" s="229"/>
      <c r="B97" s="229"/>
      <c r="C97" s="97"/>
      <c r="D97" s="97"/>
      <c r="E97" s="97"/>
    </row>
    <row r="98" spans="1:8" s="232" customFormat="1" x14ac:dyDescent="0.25">
      <c r="A98" s="226" t="s">
        <v>764</v>
      </c>
      <c r="B98" s="229" t="s">
        <v>651</v>
      </c>
      <c r="C98" s="97">
        <v>7289</v>
      </c>
      <c r="D98" s="97">
        <v>91</v>
      </c>
      <c r="E98" s="97">
        <f t="shared" ref="E98:E99" si="12">D98+C98</f>
        <v>7380</v>
      </c>
    </row>
    <row r="99" spans="1:8" s="228" customFormat="1" x14ac:dyDescent="0.25">
      <c r="A99" s="226"/>
      <c r="B99" s="226" t="s">
        <v>369</v>
      </c>
      <c r="C99" s="231">
        <f t="shared" ref="C99:D99" si="13">SUM(C98)</f>
        <v>7289</v>
      </c>
      <c r="D99" s="231">
        <f t="shared" si="13"/>
        <v>91</v>
      </c>
      <c r="E99" s="98">
        <f t="shared" si="12"/>
        <v>7380</v>
      </c>
    </row>
    <row r="100" spans="1:8" s="228" customFormat="1" x14ac:dyDescent="0.25">
      <c r="A100" s="229"/>
      <c r="B100" s="229"/>
      <c r="C100" s="97"/>
      <c r="D100" s="97"/>
      <c r="E100" s="97"/>
    </row>
    <row r="101" spans="1:8" s="232" customFormat="1" ht="31.5" x14ac:dyDescent="0.25">
      <c r="A101" s="226" t="s">
        <v>935</v>
      </c>
      <c r="B101" s="229" t="s">
        <v>936</v>
      </c>
      <c r="C101" s="97">
        <v>8678</v>
      </c>
      <c r="D101" s="97">
        <v>0</v>
      </c>
      <c r="E101" s="97">
        <f t="shared" si="6"/>
        <v>8678</v>
      </c>
      <c r="F101" s="228" t="s">
        <v>975</v>
      </c>
      <c r="G101" s="228">
        <v>8678</v>
      </c>
      <c r="H101" s="228">
        <f>70000-G101</f>
        <v>61322</v>
      </c>
    </row>
    <row r="102" spans="1:8" s="228" customFormat="1" x14ac:dyDescent="0.25">
      <c r="A102" s="226"/>
      <c r="B102" s="226" t="s">
        <v>369</v>
      </c>
      <c r="C102" s="231">
        <f t="shared" ref="C102:D102" si="14">SUM(C101)</f>
        <v>8678</v>
      </c>
      <c r="D102" s="231">
        <f t="shared" si="14"/>
        <v>0</v>
      </c>
      <c r="E102" s="98">
        <f t="shared" si="6"/>
        <v>8678</v>
      </c>
    </row>
    <row r="103" spans="1:8" s="228" customFormat="1" x14ac:dyDescent="0.25">
      <c r="A103" s="229"/>
      <c r="B103" s="229"/>
      <c r="C103" s="97"/>
      <c r="D103" s="97"/>
      <c r="E103" s="97"/>
    </row>
    <row r="104" spans="1:8" ht="16.5" thickBot="1" x14ac:dyDescent="0.3">
      <c r="A104" s="238" t="s">
        <v>481</v>
      </c>
      <c r="B104" s="239"/>
      <c r="C104" s="108">
        <f>+C90+C93+C96+C98+C102</f>
        <v>26588</v>
      </c>
      <c r="D104" s="108">
        <f>+D90+D93+D96+D98+D102</f>
        <v>91</v>
      </c>
      <c r="E104" s="108">
        <f>+E90+E93+E96+E98+E102</f>
        <v>26679</v>
      </c>
    </row>
    <row r="105" spans="1:8" ht="16.5" thickBot="1" x14ac:dyDescent="0.3">
      <c r="A105" s="1005" t="s">
        <v>375</v>
      </c>
      <c r="B105" s="1005"/>
      <c r="C105" s="240">
        <f>C13+C16+C19+C22+C26+C29+C32+C35+C39+C42+C45+C48+C51+C55+C58+C61+C64+C67+C71+C75+C79+C82+C84+C86+C104</f>
        <v>1350285</v>
      </c>
      <c r="D105" s="240">
        <f>D13+D16+D19+D22+D26+D29+D32+D35+D39+D42+D45+D48+D51+D55+D58+D61+D64+D67+D71+D75+D79+D82+D84+D86+D104</f>
        <v>91</v>
      </c>
      <c r="E105" s="240">
        <f>E13+E16+E19+E22+E26+E29+E32+E35+E39+E42+E45+E48+E51+E55+E58+E61+E64+E67+E71+E75+E79+E82+E84+E86+E104</f>
        <v>1350376</v>
      </c>
    </row>
    <row r="106" spans="1:8" x14ac:dyDescent="0.25">
      <c r="A106" s="234"/>
      <c r="B106" s="228"/>
      <c r="C106" s="233"/>
      <c r="D106" s="233"/>
      <c r="E106" s="233"/>
      <c r="F106" s="432" t="s">
        <v>925</v>
      </c>
      <c r="G106" s="434">
        <f>+E105-E106</f>
        <v>1350376</v>
      </c>
    </row>
    <row r="107" spans="1:8" hidden="1" x14ac:dyDescent="0.25">
      <c r="A107" s="162"/>
      <c r="C107" s="434">
        <v>1350285</v>
      </c>
    </row>
    <row r="114" spans="1:10" x14ac:dyDescent="0.25">
      <c r="A114" s="432"/>
      <c r="C114" s="432"/>
      <c r="D114" s="432"/>
      <c r="E114" s="432"/>
    </row>
    <row r="115" spans="1:10" s="436" customFormat="1" x14ac:dyDescent="0.25">
      <c r="A115" s="432"/>
      <c r="B115" s="432"/>
      <c r="C115" s="432"/>
      <c r="D115" s="432"/>
      <c r="E115" s="432"/>
      <c r="F115" s="432"/>
      <c r="G115" s="432"/>
      <c r="H115" s="432"/>
      <c r="I115" s="432"/>
      <c r="J115" s="432"/>
    </row>
    <row r="116" spans="1:10" s="436" customFormat="1" x14ac:dyDescent="0.25">
      <c r="A116" s="432"/>
      <c r="B116" s="432"/>
      <c r="C116" s="432"/>
      <c r="D116" s="432"/>
      <c r="E116" s="432"/>
      <c r="F116" s="432"/>
      <c r="G116" s="432"/>
      <c r="H116" s="432"/>
      <c r="I116" s="432"/>
      <c r="J116" s="432"/>
    </row>
    <row r="117" spans="1:10" s="436" customFormat="1" x14ac:dyDescent="0.25">
      <c r="A117" s="432"/>
      <c r="B117" s="432"/>
      <c r="C117" s="432"/>
      <c r="D117" s="432"/>
      <c r="E117" s="432"/>
      <c r="F117" s="432"/>
      <c r="G117" s="432"/>
      <c r="H117" s="432"/>
      <c r="I117" s="432"/>
      <c r="J117" s="432"/>
    </row>
    <row r="118" spans="1:10" s="436" customFormat="1" x14ac:dyDescent="0.25">
      <c r="A118" s="432"/>
      <c r="B118" s="432"/>
      <c r="C118" s="432"/>
      <c r="D118" s="432"/>
      <c r="E118" s="432"/>
      <c r="F118" s="432"/>
      <c r="G118" s="432"/>
      <c r="H118" s="432"/>
      <c r="I118" s="432"/>
      <c r="J118" s="432"/>
    </row>
  </sheetData>
  <mergeCells count="4">
    <mergeCell ref="A4:B4"/>
    <mergeCell ref="A88:B88"/>
    <mergeCell ref="A105:B105"/>
    <mergeCell ref="A1:E1"/>
  </mergeCells>
  <pageMargins left="0.70866141732283472" right="0.70866141732283472" top="0.74803149606299213" bottom="0.74803149606299213" header="0.31496062992125984" footer="0.31496062992125984"/>
  <pageSetup paperSize="9" scale="55" fitToHeight="0" orientation="portrait" r:id="rId1"/>
  <headerFooter>
    <oddHeader>&amp;R&amp;"Times New Roman CE,Félkövér"13. melléklet a 12/2021.(II.25.) önkormányzati rendelethez
&amp;"Times New Roman CE,Dőlt"&amp;10 14. melléklet az 5/2020.(II.17.) önkormányzati rendelethez</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93571-9DFC-425F-A4CC-83FCC32DC302}">
  <sheetPr>
    <pageSetUpPr fitToPage="1"/>
  </sheetPr>
  <dimension ref="A1:F23"/>
  <sheetViews>
    <sheetView zoomScale="80" zoomScaleNormal="80" workbookViewId="0">
      <selection activeCell="E17" sqref="E17"/>
    </sheetView>
  </sheetViews>
  <sheetFormatPr defaultColWidth="8.75" defaultRowHeight="15.75" x14ac:dyDescent="0.25"/>
  <cols>
    <col min="1" max="1" width="24.75" style="825" customWidth="1"/>
    <col min="2" max="2" width="33.75" style="825" customWidth="1"/>
    <col min="3" max="5" width="17.625" style="825" customWidth="1"/>
    <col min="6" max="16384" width="8.75" style="825"/>
  </cols>
  <sheetData>
    <row r="1" spans="1:6" ht="71.25" customHeight="1" x14ac:dyDescent="0.3">
      <c r="A1" s="1007" t="s">
        <v>1255</v>
      </c>
      <c r="B1" s="1007"/>
      <c r="C1" s="1007"/>
      <c r="D1" s="1007"/>
      <c r="E1" s="1007"/>
    </row>
    <row r="2" spans="1:6" ht="16.5" thickBot="1" x14ac:dyDescent="0.3"/>
    <row r="3" spans="1:6" ht="47.25" customHeight="1" x14ac:dyDescent="0.25">
      <c r="A3" s="826" t="s">
        <v>1256</v>
      </c>
      <c r="B3" s="827"/>
      <c r="C3" s="828" t="s">
        <v>1271</v>
      </c>
      <c r="D3" s="828" t="s">
        <v>348</v>
      </c>
      <c r="E3" s="828" t="s">
        <v>1257</v>
      </c>
    </row>
    <row r="4" spans="1:6" x14ac:dyDescent="0.25">
      <c r="A4" s="829" t="s">
        <v>1258</v>
      </c>
      <c r="B4" s="830"/>
      <c r="C4" s="603">
        <f>+C5+C6</f>
        <v>404528</v>
      </c>
      <c r="D4" s="603">
        <f>+D5+D6</f>
        <v>7642</v>
      </c>
      <c r="E4" s="603">
        <f>+E5+E6</f>
        <v>412170</v>
      </c>
    </row>
    <row r="5" spans="1:6" x14ac:dyDescent="0.25">
      <c r="A5" s="831" t="s">
        <v>1259</v>
      </c>
      <c r="B5" s="832" t="s">
        <v>1260</v>
      </c>
      <c r="C5" s="604">
        <v>299000</v>
      </c>
      <c r="D5" s="604">
        <f>-C5+307074</f>
        <v>8074</v>
      </c>
      <c r="E5" s="604">
        <f>+C5+D5</f>
        <v>307074</v>
      </c>
      <c r="F5" s="955"/>
    </row>
    <row r="6" spans="1:6" x14ac:dyDescent="0.25">
      <c r="A6" s="833"/>
      <c r="B6" s="832" t="s">
        <v>1261</v>
      </c>
      <c r="C6" s="604">
        <v>105528</v>
      </c>
      <c r="D6" s="604">
        <f>-105528+105096</f>
        <v>-432</v>
      </c>
      <c r="E6" s="604">
        <f>+C6+D6</f>
        <v>105096</v>
      </c>
    </row>
    <row r="7" spans="1:6" x14ac:dyDescent="0.25">
      <c r="A7" s="834" t="s">
        <v>1262</v>
      </c>
      <c r="B7" s="835"/>
      <c r="C7" s="603">
        <f>+C6*0.27</f>
        <v>28492.560000000001</v>
      </c>
      <c r="D7" s="603">
        <f>+D6*0.27</f>
        <v>-116.64000000000001</v>
      </c>
      <c r="E7" s="603">
        <f>+E6*0.27</f>
        <v>28375.920000000002</v>
      </c>
    </row>
    <row r="8" spans="1:6" x14ac:dyDescent="0.25">
      <c r="A8" s="836" t="s">
        <v>832</v>
      </c>
      <c r="B8" s="837"/>
      <c r="C8" s="603">
        <v>150302</v>
      </c>
      <c r="D8" s="603">
        <f>D18-D4-D7</f>
        <v>381214</v>
      </c>
      <c r="E8" s="603">
        <f>E18-E4-E7</f>
        <v>531516</v>
      </c>
    </row>
    <row r="9" spans="1:6" ht="16.5" thickBot="1" x14ac:dyDescent="0.3">
      <c r="A9" s="838" t="s">
        <v>1263</v>
      </c>
      <c r="B9" s="839"/>
      <c r="C9" s="605">
        <f>+C4+C7+C8</f>
        <v>583322.56000000006</v>
      </c>
      <c r="D9" s="605">
        <f>+D4+D7+D8</f>
        <v>388739.36</v>
      </c>
      <c r="E9" s="605">
        <f>+E4+E7+E8</f>
        <v>972061.91999999993</v>
      </c>
    </row>
    <row r="10" spans="1:6" x14ac:dyDescent="0.25">
      <c r="A10" s="840"/>
      <c r="B10" s="841"/>
      <c r="C10" s="842"/>
      <c r="D10" s="842"/>
      <c r="E10" s="842"/>
    </row>
    <row r="11" spans="1:6" ht="16.5" thickBot="1" x14ac:dyDescent="0.3">
      <c r="A11" s="840"/>
      <c r="B11" s="840"/>
      <c r="C11" s="842"/>
      <c r="D11" s="842"/>
      <c r="E11" s="842"/>
    </row>
    <row r="12" spans="1:6" ht="49.5" customHeight="1" x14ac:dyDescent="0.25">
      <c r="A12" s="826" t="s">
        <v>1264</v>
      </c>
      <c r="B12" s="843"/>
      <c r="C12" s="828" t="s">
        <v>1271</v>
      </c>
      <c r="D12" s="828" t="s">
        <v>348</v>
      </c>
      <c r="E12" s="828" t="s">
        <v>1257</v>
      </c>
    </row>
    <row r="13" spans="1:6" ht="29.25" customHeight="1" x14ac:dyDescent="0.25">
      <c r="A13" s="1008" t="s">
        <v>1265</v>
      </c>
      <c r="B13" s="1009"/>
      <c r="C13" s="606">
        <f>SUM(C14:C15)</f>
        <v>554830</v>
      </c>
      <c r="D13" s="606">
        <f>SUM(D14:D15)</f>
        <v>388856</v>
      </c>
      <c r="E13" s="606">
        <f>SUM(E14:E15)</f>
        <v>943686</v>
      </c>
    </row>
    <row r="14" spans="1:6" ht="31.5" x14ac:dyDescent="0.25">
      <c r="A14" s="844"/>
      <c r="B14" s="846" t="s">
        <v>1266</v>
      </c>
      <c r="C14" s="604">
        <v>303539</v>
      </c>
      <c r="D14" s="604">
        <f>-C14+655056</f>
        <v>351517</v>
      </c>
      <c r="E14" s="604">
        <f>+C14+D14</f>
        <v>655056</v>
      </c>
    </row>
    <row r="15" spans="1:6" ht="31.5" customHeight="1" x14ac:dyDescent="0.25">
      <c r="A15" s="845"/>
      <c r="B15" s="846" t="s">
        <v>1267</v>
      </c>
      <c r="C15" s="604">
        <v>251291</v>
      </c>
      <c r="D15" s="604">
        <f>-C15+288630</f>
        <v>37339</v>
      </c>
      <c r="E15" s="604">
        <f>+C15+D15</f>
        <v>288630</v>
      </c>
    </row>
    <row r="16" spans="1:6" x14ac:dyDescent="0.25">
      <c r="A16" s="844"/>
      <c r="B16" s="846" t="s">
        <v>1268</v>
      </c>
      <c r="C16" s="604">
        <v>49949</v>
      </c>
      <c r="D16" s="604">
        <f>-C16+55585</f>
        <v>5636</v>
      </c>
      <c r="E16" s="604">
        <f>+C16+D16</f>
        <v>55585</v>
      </c>
    </row>
    <row r="17" spans="1:5" x14ac:dyDescent="0.25">
      <c r="A17" s="1010" t="s">
        <v>1269</v>
      </c>
      <c r="B17" s="1011"/>
      <c r="C17" s="603">
        <f>+C7</f>
        <v>28492.560000000001</v>
      </c>
      <c r="D17" s="603">
        <f>+D7</f>
        <v>-116.64000000000001</v>
      </c>
      <c r="E17" s="603">
        <f>+E7</f>
        <v>28375.920000000002</v>
      </c>
    </row>
    <row r="18" spans="1:5" ht="38.25" customHeight="1" thickBot="1" x14ac:dyDescent="0.3">
      <c r="A18" s="1012" t="s">
        <v>1270</v>
      </c>
      <c r="B18" s="1013"/>
      <c r="C18" s="605">
        <f>+C13+C17</f>
        <v>583322.56000000006</v>
      </c>
      <c r="D18" s="605">
        <f>+D13+D17</f>
        <v>388739.36</v>
      </c>
      <c r="E18" s="605">
        <f>+E13+E17</f>
        <v>972061.92</v>
      </c>
    </row>
    <row r="19" spans="1:5" x14ac:dyDescent="0.25">
      <c r="A19" s="840"/>
      <c r="B19" s="840"/>
    </row>
    <row r="20" spans="1:5" x14ac:dyDescent="0.25">
      <c r="A20" s="162"/>
    </row>
    <row r="21" spans="1:5" x14ac:dyDescent="0.25">
      <c r="A21" s="847"/>
      <c r="C21" s="842"/>
      <c r="D21" s="842"/>
      <c r="E21" s="842"/>
    </row>
    <row r="23" spans="1:5" x14ac:dyDescent="0.25">
      <c r="A23" s="848"/>
      <c r="C23" s="842"/>
      <c r="D23" s="842"/>
      <c r="E23" s="842"/>
    </row>
  </sheetData>
  <mergeCells count="4">
    <mergeCell ref="A1:E1"/>
    <mergeCell ref="A13:B13"/>
    <mergeCell ref="A17:B17"/>
    <mergeCell ref="A18:B18"/>
  </mergeCells>
  <printOptions horizontalCentered="1"/>
  <pageMargins left="0.51181102362204722" right="0.59055118110236227" top="1.0629921259842521" bottom="0.39370078740157483" header="0.43307086614173229" footer="0.19685039370078741"/>
  <pageSetup paperSize="9" scale="77" orientation="portrait" r:id="rId1"/>
  <headerFooter alignWithMargins="0">
    <oddHeader>&amp;R&amp;"Times New Roman CE,Félkövér"14. melléklet a 12/2021.(II.25.) önkormányzati rendelethez&amp;"Times New Roman CE,Dőlt"
15. melléklet
az 5/2020.(II.17.) önkormányzati rendelethez</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53"/>
  <sheetViews>
    <sheetView zoomScale="80" zoomScaleNormal="80" workbookViewId="0">
      <selection activeCell="F12" sqref="F12"/>
    </sheetView>
  </sheetViews>
  <sheetFormatPr defaultColWidth="9" defaultRowHeight="15.75" x14ac:dyDescent="0.25"/>
  <cols>
    <col min="1" max="1" width="45.625" style="37" customWidth="1"/>
    <col min="2" max="2" width="16" style="38" customWidth="1"/>
    <col min="3" max="3" width="7.5" style="33" customWidth="1"/>
    <col min="4" max="4" width="43.75" style="33" customWidth="1"/>
    <col min="5" max="5" width="16" style="33" customWidth="1"/>
    <col min="6" max="6" width="24.625" style="33" customWidth="1"/>
    <col min="7" max="7" width="10.625" style="33" bestFit="1" customWidth="1"/>
    <col min="8" max="8" width="16.375" style="33" hidden="1" customWidth="1"/>
    <col min="9" max="10" width="0" style="33" hidden="1" customWidth="1"/>
    <col min="11" max="16384" width="9" style="33"/>
  </cols>
  <sheetData>
    <row r="1" spans="1:7" ht="31.5" customHeight="1" x14ac:dyDescent="0.25">
      <c r="A1" s="1016" t="s">
        <v>346</v>
      </c>
      <c r="B1" s="1016"/>
      <c r="C1" s="1016"/>
      <c r="D1" s="1016"/>
      <c r="E1" s="1016"/>
      <c r="F1" s="1016"/>
    </row>
    <row r="3" spans="1:7" ht="16.5" thickBot="1" x14ac:dyDescent="0.3"/>
    <row r="4" spans="1:7" ht="33" thickTop="1" thickBot="1" x14ac:dyDescent="0.3">
      <c r="A4" s="561" t="s">
        <v>53</v>
      </c>
      <c r="B4" s="558" t="s">
        <v>347</v>
      </c>
      <c r="D4" s="561" t="s">
        <v>53</v>
      </c>
      <c r="E4" s="558" t="s">
        <v>347</v>
      </c>
    </row>
    <row r="5" spans="1:7" s="564" customFormat="1" ht="16.5" thickTop="1" x14ac:dyDescent="0.25">
      <c r="A5" s="562" t="s">
        <v>279</v>
      </c>
      <c r="B5" s="563"/>
      <c r="D5" s="565" t="s">
        <v>280</v>
      </c>
      <c r="E5" s="566"/>
    </row>
    <row r="6" spans="1:7" s="549" customFormat="1" ht="31.5" x14ac:dyDescent="0.25">
      <c r="A6" s="30" t="s">
        <v>55</v>
      </c>
      <c r="B6" s="32">
        <f>+'4 kiadás(szűkített)'!K9</f>
        <v>8959911</v>
      </c>
      <c r="D6" s="30" t="s">
        <v>257</v>
      </c>
      <c r="E6" s="32">
        <f>+'3 bevétel(szűkített)'!K20</f>
        <v>9979850</v>
      </c>
      <c r="G6" s="567"/>
    </row>
    <row r="7" spans="1:7" s="549" customFormat="1" ht="31.5" x14ac:dyDescent="0.25">
      <c r="A7" s="30" t="s">
        <v>32</v>
      </c>
      <c r="B7" s="32">
        <f>+'4 kiadás(szűkített)'!K10</f>
        <v>1644784</v>
      </c>
      <c r="D7" s="30" t="s">
        <v>56</v>
      </c>
      <c r="E7" s="32">
        <f>+'3 bevétel(szűkített)'!K38</f>
        <v>19418503</v>
      </c>
    </row>
    <row r="8" spans="1:7" s="549" customFormat="1" ht="16.5" thickBot="1" x14ac:dyDescent="0.3">
      <c r="A8" s="30" t="s">
        <v>57</v>
      </c>
      <c r="B8" s="32">
        <f>+'4 kiadás(szűkített)'!K11</f>
        <v>14433775</v>
      </c>
      <c r="D8" s="31" t="s">
        <v>54</v>
      </c>
      <c r="E8" s="32">
        <f>+'3 bevétel(szűkített)'!K39</f>
        <v>3019877</v>
      </c>
    </row>
    <row r="9" spans="1:7" s="549" customFormat="1" ht="16.5" thickTop="1" x14ac:dyDescent="0.25">
      <c r="A9" s="107" t="s">
        <v>438</v>
      </c>
      <c r="B9" s="32">
        <f>+'4 kiadás(szűkített)'!K12</f>
        <v>245201</v>
      </c>
      <c r="D9" s="31" t="s">
        <v>259</v>
      </c>
      <c r="E9" s="32">
        <f>+'3 bevétel(szűkített)'!K48</f>
        <v>212995</v>
      </c>
      <c r="F9" s="1017" t="s">
        <v>284</v>
      </c>
    </row>
    <row r="10" spans="1:7" s="549" customFormat="1" ht="15.75" customHeight="1" x14ac:dyDescent="0.25">
      <c r="A10" s="30" t="s">
        <v>264</v>
      </c>
      <c r="B10" s="32">
        <f>+'4 kiadás(szűkített)'!K13</f>
        <v>12501486</v>
      </c>
      <c r="D10" s="31"/>
      <c r="E10" s="32"/>
      <c r="F10" s="1018"/>
    </row>
    <row r="11" spans="1:7" s="549" customFormat="1" ht="16.5" customHeight="1" thickBot="1" x14ac:dyDescent="0.3">
      <c r="A11" s="107" t="s">
        <v>58</v>
      </c>
      <c r="B11" s="568">
        <f>+'4 kiadás(szűkített)'!K21</f>
        <v>5927250</v>
      </c>
      <c r="D11" s="28"/>
      <c r="E11" s="29"/>
      <c r="F11" s="1019"/>
    </row>
    <row r="12" spans="1:7" s="571" customFormat="1" ht="17.25" thickTop="1" thickBot="1" x14ac:dyDescent="0.3">
      <c r="A12" s="569" t="s">
        <v>277</v>
      </c>
      <c r="B12" s="570">
        <f>SUM(B5:B11)</f>
        <v>43712407</v>
      </c>
      <c r="D12" s="569" t="s">
        <v>278</v>
      </c>
      <c r="E12" s="570">
        <f>SUM(E6:E10)</f>
        <v>32631225</v>
      </c>
      <c r="F12" s="570">
        <f>+E12-B12</f>
        <v>-11081182</v>
      </c>
    </row>
    <row r="13" spans="1:7" s="571" customFormat="1" ht="17.25" thickTop="1" thickBot="1" x14ac:dyDescent="0.3">
      <c r="A13" s="572"/>
      <c r="B13" s="573"/>
      <c r="D13" s="572"/>
      <c r="E13" s="573"/>
      <c r="F13" s="573"/>
    </row>
    <row r="14" spans="1:7" s="564" customFormat="1" ht="17.25" thickTop="1" thickBot="1" x14ac:dyDescent="0.3">
      <c r="A14" s="565" t="s">
        <v>288</v>
      </c>
      <c r="B14" s="574"/>
      <c r="D14" s="565" t="s">
        <v>289</v>
      </c>
      <c r="E14" s="566"/>
    </row>
    <row r="15" spans="1:7" s="549" customFormat="1" ht="16.5" customHeight="1" thickTop="1" x14ac:dyDescent="0.25">
      <c r="A15" s="30" t="s">
        <v>306</v>
      </c>
      <c r="B15" s="32">
        <f>11524143+19370+388-53480-10582</f>
        <v>11479839</v>
      </c>
      <c r="D15" s="31" t="s">
        <v>307</v>
      </c>
      <c r="E15" s="563">
        <f>+B15</f>
        <v>11479839</v>
      </c>
      <c r="F15" s="1017" t="s">
        <v>290</v>
      </c>
    </row>
    <row r="16" spans="1:7" s="549" customFormat="1" ht="31.5" x14ac:dyDescent="0.25">
      <c r="A16" s="30"/>
      <c r="B16" s="32"/>
      <c r="D16" s="91" t="s">
        <v>342</v>
      </c>
      <c r="E16" s="563">
        <v>11490976</v>
      </c>
      <c r="F16" s="1018"/>
    </row>
    <row r="17" spans="1:6" s="549" customFormat="1" ht="31.5" x14ac:dyDescent="0.25">
      <c r="A17" s="107" t="s">
        <v>482</v>
      </c>
      <c r="B17" s="568">
        <v>163966</v>
      </c>
      <c r="D17" s="91" t="s">
        <v>515</v>
      </c>
      <c r="E17" s="563">
        <f>+'3 bevétel(szűkített)'!K62</f>
        <v>265848</v>
      </c>
      <c r="F17" s="1018"/>
    </row>
    <row r="18" spans="1:6" s="549" customFormat="1" ht="16.5" thickBot="1" x14ac:dyDescent="0.3">
      <c r="A18" s="64"/>
      <c r="B18" s="575"/>
      <c r="D18" s="90"/>
      <c r="E18" s="576"/>
      <c r="F18" s="1019"/>
    </row>
    <row r="19" spans="1:6" s="571" customFormat="1" ht="17.25" thickTop="1" thickBot="1" x14ac:dyDescent="0.3">
      <c r="A19" s="569" t="s">
        <v>291</v>
      </c>
      <c r="B19" s="570">
        <f>SUM(B15:B18)</f>
        <v>11643805</v>
      </c>
      <c r="D19" s="569" t="s">
        <v>292</v>
      </c>
      <c r="E19" s="570">
        <f>SUM(E15:E18)</f>
        <v>23236663</v>
      </c>
      <c r="F19" s="570">
        <f>+E19-B19</f>
        <v>11592858</v>
      </c>
    </row>
    <row r="20" spans="1:6" s="571" customFormat="1" ht="17.25" thickTop="1" thickBot="1" x14ac:dyDescent="0.3">
      <c r="A20" s="572"/>
      <c r="B20" s="573"/>
      <c r="D20" s="572"/>
      <c r="E20" s="573"/>
      <c r="F20" s="573"/>
    </row>
    <row r="21" spans="1:6" s="571" customFormat="1" ht="17.25" thickTop="1" thickBot="1" x14ac:dyDescent="0.3">
      <c r="A21" s="572"/>
      <c r="B21" s="572"/>
      <c r="C21" s="572"/>
      <c r="D21" s="1014" t="s">
        <v>293</v>
      </c>
      <c r="E21" s="1014"/>
      <c r="F21" s="36">
        <f>SUM(F12+F19)</f>
        <v>511676</v>
      </c>
    </row>
    <row r="22" spans="1:6" s="571" customFormat="1" ht="16.5" thickTop="1" x14ac:dyDescent="0.25">
      <c r="A22" s="572"/>
      <c r="B22" s="573"/>
      <c r="D22" s="572"/>
      <c r="E22" s="573"/>
      <c r="F22" s="573"/>
    </row>
    <row r="23" spans="1:6" s="571" customFormat="1" ht="16.5" thickBot="1" x14ac:dyDescent="0.3">
      <c r="A23" s="572"/>
      <c r="B23" s="573"/>
      <c r="D23" s="572"/>
      <c r="E23" s="573"/>
      <c r="F23" s="573"/>
    </row>
    <row r="24" spans="1:6" ht="33" thickTop="1" thickBot="1" x14ac:dyDescent="0.3">
      <c r="A24" s="561" t="s">
        <v>53</v>
      </c>
      <c r="B24" s="558" t="s">
        <v>347</v>
      </c>
      <c r="D24" s="561" t="s">
        <v>53</v>
      </c>
      <c r="E24" s="558" t="s">
        <v>347</v>
      </c>
    </row>
    <row r="25" spans="1:6" ht="16.5" thickTop="1" x14ac:dyDescent="0.25">
      <c r="A25" s="565" t="s">
        <v>281</v>
      </c>
      <c r="B25" s="574"/>
      <c r="D25" s="565" t="s">
        <v>282</v>
      </c>
      <c r="E25" s="574"/>
    </row>
    <row r="26" spans="1:6" ht="32.25" customHeight="1" thickBot="1" x14ac:dyDescent="0.3">
      <c r="A26" s="30" t="s">
        <v>52</v>
      </c>
      <c r="B26" s="32">
        <f>+'4 kiadás(szűkített)'!K15</f>
        <v>23858441</v>
      </c>
      <c r="D26" s="30" t="s">
        <v>276</v>
      </c>
      <c r="E26" s="32">
        <f>+'3 bevétel(szűkített)'!K23</f>
        <v>9628221</v>
      </c>
      <c r="F26" s="92"/>
    </row>
    <row r="27" spans="1:6" ht="16.5" thickTop="1" x14ac:dyDescent="0.25">
      <c r="A27" s="30" t="s">
        <v>60</v>
      </c>
      <c r="B27" s="32">
        <f>+'4 kiadás(szűkített)'!K16</f>
        <v>373409</v>
      </c>
      <c r="D27" s="30" t="s">
        <v>283</v>
      </c>
      <c r="E27" s="32">
        <f>+'3 bevétel(szűkített)'!K47</f>
        <v>61353</v>
      </c>
      <c r="F27" s="1017" t="s">
        <v>285</v>
      </c>
    </row>
    <row r="28" spans="1:6" x14ac:dyDescent="0.25">
      <c r="A28" s="30" t="s">
        <v>254</v>
      </c>
      <c r="B28" s="32">
        <f>+'4 kiadás(szűkített)'!K17</f>
        <v>2683933</v>
      </c>
      <c r="D28" s="30" t="s">
        <v>260</v>
      </c>
      <c r="E28" s="32">
        <f>+'3 bevétel(szűkített)'!K49</f>
        <v>70948</v>
      </c>
      <c r="F28" s="1018"/>
    </row>
    <row r="29" spans="1:6" ht="16.5" thickBot="1" x14ac:dyDescent="0.3">
      <c r="A29" s="30"/>
      <c r="B29" s="32"/>
      <c r="D29" s="90"/>
      <c r="E29" s="577"/>
      <c r="F29" s="1019"/>
    </row>
    <row r="30" spans="1:6" s="571" customFormat="1" ht="17.25" thickTop="1" thickBot="1" x14ac:dyDescent="0.3">
      <c r="A30" s="569" t="s">
        <v>286</v>
      </c>
      <c r="B30" s="570">
        <f>SUM(B26:B29)</f>
        <v>26915783</v>
      </c>
      <c r="D30" s="569" t="s">
        <v>287</v>
      </c>
      <c r="E30" s="570">
        <f>SUM(E26:E28)</f>
        <v>9760522</v>
      </c>
      <c r="F30" s="570">
        <f>+E30-B30</f>
        <v>-17155261</v>
      </c>
    </row>
    <row r="31" spans="1:6" s="571" customFormat="1" ht="17.25" thickTop="1" thickBot="1" x14ac:dyDescent="0.3">
      <c r="A31" s="572"/>
      <c r="B31" s="573"/>
      <c r="D31" s="572"/>
      <c r="E31" s="573"/>
      <c r="F31" s="573"/>
    </row>
    <row r="32" spans="1:6" s="564" customFormat="1" ht="17.25" thickTop="1" thickBot="1" x14ac:dyDescent="0.3">
      <c r="A32" s="565" t="s">
        <v>294</v>
      </c>
      <c r="B32" s="574"/>
      <c r="D32" s="565" t="s">
        <v>296</v>
      </c>
      <c r="E32" s="566"/>
    </row>
    <row r="33" spans="1:9" s="549" customFormat="1" ht="16.5" thickTop="1" x14ac:dyDescent="0.25">
      <c r="A33" s="30" t="s">
        <v>306</v>
      </c>
      <c r="B33" s="32">
        <f>11524143-B15</f>
        <v>44304</v>
      </c>
      <c r="D33" s="31" t="s">
        <v>307</v>
      </c>
      <c r="E33" s="563">
        <f>+B33</f>
        <v>44304</v>
      </c>
      <c r="F33" s="1017" t="s">
        <v>303</v>
      </c>
      <c r="H33" s="549" t="s">
        <v>1015</v>
      </c>
      <c r="I33" s="549">
        <v>276437</v>
      </c>
    </row>
    <row r="34" spans="1:9" s="549" customFormat="1" ht="31.5" x14ac:dyDescent="0.25">
      <c r="A34" s="107"/>
      <c r="B34" s="568"/>
      <c r="D34" s="31" t="s">
        <v>341</v>
      </c>
      <c r="E34" s="563">
        <v>16643585</v>
      </c>
      <c r="F34" s="1018"/>
      <c r="H34" s="549" t="s">
        <v>165</v>
      </c>
      <c r="I34" s="549">
        <v>-2866</v>
      </c>
    </row>
    <row r="35" spans="1:9" s="549" customFormat="1" ht="16.5" thickBot="1" x14ac:dyDescent="0.3">
      <c r="A35" s="64"/>
      <c r="B35" s="575"/>
      <c r="D35" s="30"/>
      <c r="E35" s="578"/>
      <c r="F35" s="1019"/>
      <c r="H35" s="549" t="s">
        <v>168</v>
      </c>
      <c r="I35" s="549">
        <v>-4725</v>
      </c>
    </row>
    <row r="36" spans="1:9" s="571" customFormat="1" ht="17.25" thickTop="1" thickBot="1" x14ac:dyDescent="0.3">
      <c r="A36" s="569" t="s">
        <v>295</v>
      </c>
      <c r="B36" s="570">
        <f>SUM(B33)</f>
        <v>44304</v>
      </c>
      <c r="D36" s="569" t="s">
        <v>297</v>
      </c>
      <c r="E36" s="570">
        <f>SUM(E33:E35)</f>
        <v>16687889</v>
      </c>
      <c r="F36" s="570">
        <f>+E36-B36</f>
        <v>16643585</v>
      </c>
      <c r="H36" s="548" t="s">
        <v>170</v>
      </c>
      <c r="I36" s="548">
        <v>-1951</v>
      </c>
    </row>
    <row r="37" spans="1:9" s="571" customFormat="1" ht="17.25" thickTop="1" thickBot="1" x14ac:dyDescent="0.3">
      <c r="A37" s="572"/>
      <c r="B37" s="573"/>
      <c r="D37" s="572"/>
      <c r="E37" s="573"/>
      <c r="F37" s="573"/>
      <c r="H37" s="571" t="s">
        <v>1016</v>
      </c>
      <c r="I37" s="549">
        <f>SUM(I33:I36)</f>
        <v>266895</v>
      </c>
    </row>
    <row r="38" spans="1:9" s="571" customFormat="1" ht="17.25" thickTop="1" thickBot="1" x14ac:dyDescent="0.3">
      <c r="A38" s="572"/>
      <c r="B38" s="572"/>
      <c r="C38" s="572"/>
      <c r="D38" s="1014" t="s">
        <v>298</v>
      </c>
      <c r="E38" s="1014"/>
      <c r="F38" s="36">
        <f>SUM(F30+F36)</f>
        <v>-511676</v>
      </c>
    </row>
    <row r="39" spans="1:9" s="571" customFormat="1" ht="17.25" thickTop="1" thickBot="1" x14ac:dyDescent="0.3">
      <c r="A39" s="572"/>
      <c r="B39" s="573"/>
      <c r="D39" s="572"/>
      <c r="E39" s="573"/>
      <c r="F39" s="573"/>
    </row>
    <row r="40" spans="1:9" s="571" customFormat="1" ht="33" thickTop="1" thickBot="1" x14ac:dyDescent="0.3">
      <c r="A40" s="572"/>
      <c r="B40" s="573"/>
      <c r="D40" s="572"/>
      <c r="E40" s="573"/>
      <c r="F40" s="34" t="s">
        <v>61</v>
      </c>
    </row>
    <row r="41" spans="1:9" s="571" customFormat="1" ht="17.25" thickTop="1" thickBot="1" x14ac:dyDescent="0.3">
      <c r="A41" s="579" t="s">
        <v>62</v>
      </c>
      <c r="B41" s="36">
        <f>SUM(B30+B12)</f>
        <v>70628190</v>
      </c>
      <c r="C41" s="33"/>
      <c r="D41" s="579" t="s">
        <v>63</v>
      </c>
      <c r="E41" s="35">
        <f>SUM(E30+E12)</f>
        <v>42391747</v>
      </c>
      <c r="F41" s="36">
        <f>SUM(E41-B41)</f>
        <v>-28236443</v>
      </c>
    </row>
    <row r="42" spans="1:9" s="571" customFormat="1" ht="17.25" thickTop="1" thickBot="1" x14ac:dyDescent="0.3">
      <c r="A42" s="580"/>
      <c r="B42" s="65"/>
      <c r="C42" s="33"/>
      <c r="D42" s="580"/>
      <c r="E42" s="65"/>
      <c r="F42" s="65"/>
    </row>
    <row r="43" spans="1:9" s="571" customFormat="1" ht="33" thickTop="1" thickBot="1" x14ac:dyDescent="0.3">
      <c r="A43" s="572"/>
      <c r="B43" s="573"/>
      <c r="D43" s="572"/>
      <c r="E43" s="573"/>
      <c r="F43" s="34" t="s">
        <v>302</v>
      </c>
    </row>
    <row r="44" spans="1:9" s="571" customFormat="1" ht="17.25" thickTop="1" thickBot="1" x14ac:dyDescent="0.3">
      <c r="A44" s="579" t="s">
        <v>299</v>
      </c>
      <c r="B44" s="36">
        <f>SUM(B36+B19)</f>
        <v>11688109</v>
      </c>
      <c r="C44" s="33"/>
      <c r="D44" s="579" t="s">
        <v>300</v>
      </c>
      <c r="E44" s="35">
        <f>SUM(E36+E19)</f>
        <v>39924552</v>
      </c>
      <c r="F44" s="36">
        <f>SUM(E44-B44)</f>
        <v>28236443</v>
      </c>
    </row>
    <row r="45" spans="1:9" s="571" customFormat="1" ht="17.25" thickTop="1" thickBot="1" x14ac:dyDescent="0.3">
      <c r="A45" s="572"/>
      <c r="B45" s="573"/>
      <c r="D45" s="572"/>
      <c r="E45" s="573"/>
      <c r="F45" s="573"/>
    </row>
    <row r="46" spans="1:9" s="571" customFormat="1" ht="17.25" thickTop="1" thickBot="1" x14ac:dyDescent="0.3">
      <c r="A46" s="572"/>
      <c r="B46" s="573"/>
      <c r="D46" s="1015" t="s">
        <v>301</v>
      </c>
      <c r="E46" s="1015"/>
      <c r="F46" s="570">
        <f>SUM(F41+F44)</f>
        <v>0</v>
      </c>
    </row>
    <row r="47" spans="1:9" s="571" customFormat="1" ht="16.5" thickTop="1" x14ac:dyDescent="0.25">
      <c r="A47" s="572"/>
      <c r="B47" s="573"/>
      <c r="D47" s="572"/>
      <c r="E47" s="573"/>
      <c r="F47" s="573"/>
    </row>
    <row r="48" spans="1:9" x14ac:dyDescent="0.25">
      <c r="E48" s="38"/>
    </row>
    <row r="49" spans="4:5" x14ac:dyDescent="0.25">
      <c r="E49" s="38"/>
    </row>
    <row r="50" spans="4:5" x14ac:dyDescent="0.25">
      <c r="E50" s="38"/>
    </row>
    <row r="51" spans="4:5" x14ac:dyDescent="0.25">
      <c r="E51" s="38"/>
    </row>
    <row r="52" spans="4:5" x14ac:dyDescent="0.25">
      <c r="E52" s="38"/>
    </row>
    <row r="53" spans="4:5" x14ac:dyDescent="0.25">
      <c r="D53" s="39"/>
      <c r="E53" s="38"/>
    </row>
  </sheetData>
  <mergeCells count="8">
    <mergeCell ref="D38:E38"/>
    <mergeCell ref="D46:E46"/>
    <mergeCell ref="A1:F1"/>
    <mergeCell ref="F9:F11"/>
    <mergeCell ref="F15:F18"/>
    <mergeCell ref="D21:E21"/>
    <mergeCell ref="F27:F29"/>
    <mergeCell ref="F33:F35"/>
  </mergeCells>
  <printOptions horizontalCentered="1"/>
  <pageMargins left="0.31496062992125984" right="0.23622047244094491" top="0.47244094488188981" bottom="0.23622047244094491" header="0.23622047244094491" footer="0.15748031496062992"/>
  <pageSetup paperSize="9" scale="58" orientation="landscape" r:id="rId1"/>
  <headerFooter alignWithMargins="0">
    <oddHeader>&amp;R&amp;"Times New Roman CE,Félkövér" 15. melléklet a 12/2021.(II.25.) önkormányzati rendelethez&amp;"Times New Roman CE,Dőlt"&amp;10
16. melléklet
az 5/2020.(II.17.) önkormányzati rendelethez</oddHeader>
    <oddFooter xml:space="preserve">&amp;C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T37"/>
  <sheetViews>
    <sheetView zoomScale="80" zoomScaleNormal="80" workbookViewId="0">
      <pane xSplit="1" ySplit="4" topLeftCell="B23" activePane="bottomRight" state="frozen"/>
      <selection activeCell="F12" sqref="F12"/>
      <selection pane="topRight" activeCell="F12" sqref="F12"/>
      <selection pane="bottomLeft" activeCell="F12" sqref="F12"/>
      <selection pane="bottomRight" activeCell="F12" sqref="F12"/>
    </sheetView>
  </sheetViews>
  <sheetFormatPr defaultColWidth="8" defaultRowHeight="15.75" x14ac:dyDescent="0.25"/>
  <cols>
    <col min="1" max="1" width="26.125" style="437" bestFit="1" customWidth="1"/>
    <col min="2" max="2" width="11" style="438" bestFit="1" customWidth="1"/>
    <col min="3" max="3" width="12" style="438" customWidth="1"/>
    <col min="4" max="5" width="11" style="438" bestFit="1" customWidth="1"/>
    <col min="6" max="6" width="10.5" style="438" customWidth="1"/>
    <col min="7" max="7" width="12.5" style="438" customWidth="1"/>
    <col min="8" max="8" width="11.125" style="438" customWidth="1"/>
    <col min="9" max="9" width="10.875" style="438" bestFit="1" customWidth="1"/>
    <col min="10" max="10" width="11" style="438" bestFit="1" customWidth="1"/>
    <col min="11" max="11" width="11" style="438" customWidth="1"/>
    <col min="12" max="12" width="11.5" style="438" bestFit="1" customWidth="1"/>
    <col min="13" max="13" width="11.625" style="438" customWidth="1"/>
    <col min="14" max="14" width="11" style="438" bestFit="1" customWidth="1"/>
    <col min="15" max="15" width="9.875" style="441" hidden="1" customWidth="1"/>
    <col min="16" max="16" width="9.875" style="457" hidden="1" customWidth="1"/>
    <col min="17" max="17" width="9.375" style="442" hidden="1" customWidth="1"/>
    <col min="18" max="18" width="12.75" style="437" hidden="1" customWidth="1"/>
    <col min="19" max="19" width="10.875" style="437" hidden="1" customWidth="1"/>
    <col min="20" max="20" width="9.625" style="437" customWidth="1"/>
    <col min="21" max="16384" width="8" style="437"/>
  </cols>
  <sheetData>
    <row r="1" spans="1:18" ht="18.75" x14ac:dyDescent="0.3">
      <c r="A1" s="1020" t="s">
        <v>1044</v>
      </c>
      <c r="B1" s="1020"/>
      <c r="C1" s="1020"/>
      <c r="D1" s="1020"/>
      <c r="E1" s="1020"/>
      <c r="F1" s="1020"/>
      <c r="G1" s="1020"/>
      <c r="H1" s="1020"/>
      <c r="I1" s="1020"/>
      <c r="J1" s="1020"/>
      <c r="K1" s="1020"/>
      <c r="L1" s="1020"/>
      <c r="M1" s="1020"/>
      <c r="N1" s="1020"/>
    </row>
    <row r="2" spans="1:18" x14ac:dyDescent="0.25">
      <c r="I2" s="443"/>
      <c r="J2" s="443"/>
      <c r="K2" s="443"/>
      <c r="L2" s="444"/>
      <c r="M2" s="440"/>
      <c r="N2" s="440"/>
    </row>
    <row r="3" spans="1:18" ht="16.5" thickBot="1" x14ac:dyDescent="0.3">
      <c r="A3" s="445" t="s">
        <v>493</v>
      </c>
      <c r="D3" s="440"/>
      <c r="I3" s="443"/>
      <c r="J3" s="443"/>
      <c r="K3" s="546"/>
      <c r="L3" s="545"/>
      <c r="M3" s="440"/>
      <c r="N3" s="440"/>
    </row>
    <row r="4" spans="1:18" s="450" customFormat="1" x14ac:dyDescent="0.25">
      <c r="A4" s="446" t="s">
        <v>136</v>
      </c>
      <c r="B4" s="447" t="s">
        <v>494</v>
      </c>
      <c r="C4" s="447" t="s">
        <v>495</v>
      </c>
      <c r="D4" s="447" t="s">
        <v>496</v>
      </c>
      <c r="E4" s="447" t="s">
        <v>497</v>
      </c>
      <c r="F4" s="447" t="s">
        <v>498</v>
      </c>
      <c r="G4" s="447" t="s">
        <v>499</v>
      </c>
      <c r="H4" s="447" t="s">
        <v>500</v>
      </c>
      <c r="I4" s="447" t="s">
        <v>501</v>
      </c>
      <c r="J4" s="447" t="s">
        <v>502</v>
      </c>
      <c r="K4" s="447" t="s">
        <v>503</v>
      </c>
      <c r="L4" s="447" t="s">
        <v>504</v>
      </c>
      <c r="M4" s="447" t="s">
        <v>505</v>
      </c>
      <c r="N4" s="448" t="s">
        <v>506</v>
      </c>
      <c r="O4" s="581" t="s">
        <v>1129</v>
      </c>
      <c r="P4" s="449"/>
      <c r="Q4" s="449" t="s">
        <v>983</v>
      </c>
      <c r="R4" s="507" t="s">
        <v>984</v>
      </c>
    </row>
    <row r="5" spans="1:18" ht="31.5" x14ac:dyDescent="0.25">
      <c r="A5" s="451" t="s">
        <v>257</v>
      </c>
      <c r="B5" s="452">
        <v>957911</v>
      </c>
      <c r="C5" s="452">
        <v>405980</v>
      </c>
      <c r="D5" s="452">
        <v>560</v>
      </c>
      <c r="E5" s="452">
        <v>398774</v>
      </c>
      <c r="F5" s="452">
        <v>402087</v>
      </c>
      <c r="G5" s="452">
        <v>585517</v>
      </c>
      <c r="H5" s="452">
        <v>1039287</v>
      </c>
      <c r="I5" s="452">
        <v>410951</v>
      </c>
      <c r="J5" s="452">
        <v>407855</v>
      </c>
      <c r="K5" s="452">
        <v>419996</v>
      </c>
      <c r="L5" s="452">
        <f>27979+394677+500000</f>
        <v>922656</v>
      </c>
      <c r="M5" s="452">
        <f>1365952+1904687-2000-317000+1076637</f>
        <v>4028276</v>
      </c>
      <c r="N5" s="453">
        <f>SUM(B5:M5)</f>
        <v>9979850</v>
      </c>
      <c r="O5" s="441">
        <v>9979850</v>
      </c>
      <c r="P5" s="584" t="s">
        <v>164</v>
      </c>
      <c r="Q5" s="441">
        <f>+O5-N5</f>
        <v>0</v>
      </c>
    </row>
    <row r="6" spans="1:18" ht="31.5" x14ac:dyDescent="0.25">
      <c r="A6" s="451" t="s">
        <v>258</v>
      </c>
      <c r="B6" s="452">
        <v>4370</v>
      </c>
      <c r="C6" s="452">
        <v>0</v>
      </c>
      <c r="D6" s="452">
        <v>0</v>
      </c>
      <c r="E6" s="452">
        <v>1779806</v>
      </c>
      <c r="F6" s="452">
        <v>3151177</v>
      </c>
      <c r="G6" s="452">
        <v>14285</v>
      </c>
      <c r="H6" s="452">
        <v>606092</v>
      </c>
      <c r="I6" s="452">
        <v>496598</v>
      </c>
      <c r="J6" s="452">
        <v>270584</v>
      </c>
      <c r="K6" s="452">
        <v>9905</v>
      </c>
      <c r="L6" s="452">
        <f>386168+800000</f>
        <v>1186168</v>
      </c>
      <c r="M6" s="452">
        <f>776366+1252047+2000+317000+615059-853236</f>
        <v>2109236</v>
      </c>
      <c r="N6" s="453">
        <f t="shared" ref="N6:N13" si="0">SUM(B6:M6)</f>
        <v>9628221</v>
      </c>
      <c r="O6" s="441">
        <v>9628221</v>
      </c>
      <c r="P6" s="584" t="s">
        <v>165</v>
      </c>
      <c r="Q6" s="441">
        <f t="shared" ref="Q6:Q13" si="1">+O6-N6</f>
        <v>0</v>
      </c>
    </row>
    <row r="7" spans="1:18" x14ac:dyDescent="0.25">
      <c r="A7" s="451" t="s">
        <v>56</v>
      </c>
      <c r="B7" s="452">
        <v>61038</v>
      </c>
      <c r="C7" s="452">
        <v>214920</v>
      </c>
      <c r="D7" s="452">
        <v>8059057</v>
      </c>
      <c r="E7" s="452">
        <v>766</v>
      </c>
      <c r="F7" s="452">
        <v>900</v>
      </c>
      <c r="G7" s="452">
        <v>251238</v>
      </c>
      <c r="H7" s="452">
        <v>1605</v>
      </c>
      <c r="I7" s="452">
        <v>347789</v>
      </c>
      <c r="J7" s="452">
        <v>8287250</v>
      </c>
      <c r="K7" s="452">
        <v>628360</v>
      </c>
      <c r="L7" s="452">
        <f>480+250667</f>
        <v>251147</v>
      </c>
      <c r="M7" s="452">
        <f>25624+1288809</f>
        <v>1314433</v>
      </c>
      <c r="N7" s="453">
        <f t="shared" si="0"/>
        <v>19418503</v>
      </c>
      <c r="O7" s="441">
        <v>19418503</v>
      </c>
      <c r="P7" s="547" t="s">
        <v>166</v>
      </c>
      <c r="Q7" s="441">
        <f t="shared" si="1"/>
        <v>0</v>
      </c>
    </row>
    <row r="8" spans="1:18" x14ac:dyDescent="0.25">
      <c r="A8" s="451" t="s">
        <v>54</v>
      </c>
      <c r="B8" s="452">
        <f>94618+283006</f>
        <v>377624</v>
      </c>
      <c r="C8" s="452">
        <f>109287+269120</f>
        <v>378407</v>
      </c>
      <c r="D8" s="452">
        <f>80351+6931</f>
        <v>87282</v>
      </c>
      <c r="E8" s="452">
        <f>66346+104975</f>
        <v>171321</v>
      </c>
      <c r="F8" s="452">
        <f>743957+66685</f>
        <v>810642</v>
      </c>
      <c r="G8" s="452">
        <f>23778+56927</f>
        <v>80705</v>
      </c>
      <c r="H8" s="452">
        <f>81729+67000</f>
        <v>148729</v>
      </c>
      <c r="I8" s="452">
        <f>92729+94577</f>
        <v>187306</v>
      </c>
      <c r="J8" s="452">
        <f>133866+138229</f>
        <v>272095</v>
      </c>
      <c r="K8" s="452">
        <f>87439+148395</f>
        <v>235834</v>
      </c>
      <c r="L8" s="452">
        <v>35000</v>
      </c>
      <c r="M8" s="452">
        <f>36448-3044+201526+2</f>
        <v>234932</v>
      </c>
      <c r="N8" s="453">
        <f t="shared" si="0"/>
        <v>3019877</v>
      </c>
      <c r="O8" s="441">
        <v>3019877</v>
      </c>
      <c r="P8" s="547" t="s">
        <v>985</v>
      </c>
      <c r="Q8" s="441">
        <f t="shared" si="1"/>
        <v>0</v>
      </c>
    </row>
    <row r="9" spans="1:18" x14ac:dyDescent="0.25">
      <c r="A9" s="451" t="s">
        <v>59</v>
      </c>
      <c r="B9" s="452">
        <v>68</v>
      </c>
      <c r="C9" s="452">
        <v>648</v>
      </c>
      <c r="D9" s="452">
        <f>15+487</f>
        <v>502</v>
      </c>
      <c r="E9" s="452">
        <v>26980</v>
      </c>
      <c r="F9" s="452">
        <v>2824</v>
      </c>
      <c r="G9" s="452">
        <v>50</v>
      </c>
      <c r="H9" s="452">
        <v>6665</v>
      </c>
      <c r="I9" s="452">
        <v>11337</v>
      </c>
      <c r="J9" s="452">
        <f>633+11</f>
        <v>644</v>
      </c>
      <c r="K9" s="452">
        <v>933</v>
      </c>
      <c r="L9" s="452">
        <v>353</v>
      </c>
      <c r="M9" s="452">
        <f>39072+35834-64557</f>
        <v>10349</v>
      </c>
      <c r="N9" s="453">
        <f t="shared" si="0"/>
        <v>61353</v>
      </c>
      <c r="O9" s="441">
        <v>61353</v>
      </c>
      <c r="P9" s="547" t="s">
        <v>1014</v>
      </c>
      <c r="Q9" s="441">
        <f t="shared" si="1"/>
        <v>0</v>
      </c>
    </row>
    <row r="10" spans="1:18" ht="31.5" x14ac:dyDescent="0.25">
      <c r="A10" s="451" t="s">
        <v>507</v>
      </c>
      <c r="B10" s="452">
        <f>29922+1850</f>
        <v>31772</v>
      </c>
      <c r="C10" s="452">
        <v>305</v>
      </c>
      <c r="D10" s="452">
        <v>62506</v>
      </c>
      <c r="E10" s="452">
        <v>33284</v>
      </c>
      <c r="F10" s="452">
        <v>1594</v>
      </c>
      <c r="G10" s="452">
        <v>15316</v>
      </c>
      <c r="H10" s="452">
        <v>21786</v>
      </c>
      <c r="I10" s="452">
        <v>124</v>
      </c>
      <c r="J10" s="452">
        <f>6314+69</f>
        <v>6383</v>
      </c>
      <c r="K10" s="452">
        <v>337</v>
      </c>
      <c r="L10" s="452">
        <v>18150</v>
      </c>
      <c r="M10" s="452">
        <f>38115-21215+4538</f>
        <v>21438</v>
      </c>
      <c r="N10" s="453">
        <f t="shared" si="0"/>
        <v>212995</v>
      </c>
      <c r="O10" s="441">
        <v>212995</v>
      </c>
      <c r="P10" s="547" t="s">
        <v>986</v>
      </c>
      <c r="Q10" s="441">
        <f t="shared" si="1"/>
        <v>0</v>
      </c>
    </row>
    <row r="11" spans="1:18" ht="31.5" x14ac:dyDescent="0.25">
      <c r="A11" s="451" t="s">
        <v>508</v>
      </c>
      <c r="B11" s="452">
        <v>726</v>
      </c>
      <c r="C11" s="452">
        <v>992</v>
      </c>
      <c r="D11" s="452">
        <f>584+1951</f>
        <v>2535</v>
      </c>
      <c r="E11" s="452">
        <v>638</v>
      </c>
      <c r="F11" s="452">
        <v>538</v>
      </c>
      <c r="G11" s="452">
        <v>891</v>
      </c>
      <c r="H11" s="452">
        <v>478</v>
      </c>
      <c r="I11" s="452">
        <v>420</v>
      </c>
      <c r="J11" s="452">
        <v>8810</v>
      </c>
      <c r="K11" s="452">
        <f>3690+416</f>
        <v>4106</v>
      </c>
      <c r="L11" s="452">
        <v>25804</v>
      </c>
      <c r="M11" s="452">
        <f>19739+25116-19845</f>
        <v>25010</v>
      </c>
      <c r="N11" s="453">
        <f t="shared" si="0"/>
        <v>70948</v>
      </c>
      <c r="O11" s="441">
        <v>70948</v>
      </c>
      <c r="P11" s="547" t="s">
        <v>987</v>
      </c>
      <c r="Q11" s="441">
        <f t="shared" si="1"/>
        <v>0</v>
      </c>
    </row>
    <row r="12" spans="1:18" x14ac:dyDescent="0.25">
      <c r="A12" s="451" t="s">
        <v>261</v>
      </c>
      <c r="B12" s="452"/>
      <c r="C12" s="452"/>
      <c r="D12" s="452"/>
      <c r="E12" s="452">
        <f>27417796+848460</f>
        <v>28266256</v>
      </c>
      <c r="F12" s="452"/>
      <c r="G12" s="452"/>
      <c r="H12" s="452"/>
      <c r="I12" s="452"/>
      <c r="J12" s="452"/>
      <c r="K12" s="452"/>
      <c r="L12" s="452"/>
      <c r="M12" s="452">
        <v>-131695</v>
      </c>
      <c r="N12" s="453">
        <f t="shared" ref="N12" si="2">SUM(B12:M12)</f>
        <v>28134561</v>
      </c>
      <c r="O12" s="441">
        <v>28134561</v>
      </c>
      <c r="P12" s="547">
        <f>+O12-N12</f>
        <v>0</v>
      </c>
      <c r="Q12" s="441">
        <f t="shared" ref="Q12" si="3">+O12-N12</f>
        <v>0</v>
      </c>
    </row>
    <row r="13" spans="1:18" ht="31.5" x14ac:dyDescent="0.25">
      <c r="A13" s="451" t="s">
        <v>1247</v>
      </c>
      <c r="B13" s="452"/>
      <c r="C13" s="452"/>
      <c r="D13" s="452"/>
      <c r="E13" s="452"/>
      <c r="F13" s="452"/>
      <c r="G13" s="452"/>
      <c r="H13" s="452"/>
      <c r="I13" s="452"/>
      <c r="J13" s="452"/>
      <c r="K13" s="452"/>
      <c r="L13" s="452"/>
      <c r="M13" s="452">
        <v>265848</v>
      </c>
      <c r="N13" s="453">
        <f t="shared" si="0"/>
        <v>265848</v>
      </c>
      <c r="O13" s="441">
        <v>265848</v>
      </c>
      <c r="P13" s="547">
        <f>+O13-N13</f>
        <v>0</v>
      </c>
      <c r="Q13" s="441">
        <f t="shared" si="1"/>
        <v>0</v>
      </c>
    </row>
    <row r="14" spans="1:18" s="458" customFormat="1" ht="16.5" thickBot="1" x14ac:dyDescent="0.3">
      <c r="A14" s="454" t="s">
        <v>509</v>
      </c>
      <c r="B14" s="455">
        <f t="shared" ref="B14:N14" si="4">SUM(B5:B13)</f>
        <v>1433509</v>
      </c>
      <c r="C14" s="455">
        <f t="shared" si="4"/>
        <v>1001252</v>
      </c>
      <c r="D14" s="455">
        <f t="shared" si="4"/>
        <v>8212442</v>
      </c>
      <c r="E14" s="455">
        <f t="shared" si="4"/>
        <v>30677825</v>
      </c>
      <c r="F14" s="455">
        <f t="shared" si="4"/>
        <v>4369762</v>
      </c>
      <c r="G14" s="455">
        <f t="shared" si="4"/>
        <v>948002</v>
      </c>
      <c r="H14" s="455">
        <f t="shared" si="4"/>
        <v>1824642</v>
      </c>
      <c r="I14" s="455">
        <f t="shared" si="4"/>
        <v>1454525</v>
      </c>
      <c r="J14" s="455">
        <f t="shared" si="4"/>
        <v>9253621</v>
      </c>
      <c r="K14" s="455">
        <f t="shared" si="4"/>
        <v>1299471</v>
      </c>
      <c r="L14" s="455">
        <f t="shared" si="4"/>
        <v>2439278</v>
      </c>
      <c r="M14" s="455">
        <f t="shared" si="4"/>
        <v>7877827</v>
      </c>
      <c r="N14" s="456">
        <f t="shared" si="4"/>
        <v>70792156</v>
      </c>
      <c r="O14" s="547">
        <f>SUM(O5:O13)</f>
        <v>70792156</v>
      </c>
      <c r="P14" s="547"/>
      <c r="Q14" s="457"/>
    </row>
    <row r="15" spans="1:18" x14ac:dyDescent="0.25">
      <c r="A15" s="445"/>
      <c r="B15" s="439"/>
      <c r="C15" s="439"/>
      <c r="D15" s="439"/>
      <c r="E15" s="439"/>
      <c r="F15" s="439"/>
      <c r="G15" s="439"/>
      <c r="H15" s="439"/>
      <c r="I15" s="439"/>
      <c r="J15" s="439"/>
      <c r="K15" s="439"/>
      <c r="L15" s="439"/>
      <c r="M15" s="439"/>
      <c r="N15" s="439"/>
    </row>
    <row r="16" spans="1:18" ht="16.5" thickBot="1" x14ac:dyDescent="0.3">
      <c r="A16" s="459" t="s">
        <v>510</v>
      </c>
    </row>
    <row r="17" spans="1:20" x14ac:dyDescent="0.25">
      <c r="A17" s="460" t="s">
        <v>511</v>
      </c>
      <c r="B17" s="461">
        <v>1180827</v>
      </c>
      <c r="C17" s="461">
        <v>1134897</v>
      </c>
      <c r="D17" s="461">
        <v>1225816</v>
      </c>
      <c r="E17" s="461">
        <f>940214+5000</f>
        <v>945214</v>
      </c>
      <c r="F17" s="461">
        <v>960027</v>
      </c>
      <c r="G17" s="461">
        <v>936179</v>
      </c>
      <c r="H17" s="461">
        <v>1049222</v>
      </c>
      <c r="I17" s="461">
        <v>1046253</v>
      </c>
      <c r="J17" s="461">
        <v>922284</v>
      </c>
      <c r="K17" s="461">
        <v>1148186</v>
      </c>
      <c r="L17" s="461">
        <v>2254853</v>
      </c>
      <c r="M17" s="461">
        <f>2254854-1318+30370+255991</f>
        <v>2539897</v>
      </c>
      <c r="N17" s="462">
        <f t="shared" ref="N17:N22" si="5">SUM(B17:M17)</f>
        <v>15343655</v>
      </c>
      <c r="O17" s="441">
        <v>15343655</v>
      </c>
      <c r="P17" s="457" t="s">
        <v>920</v>
      </c>
      <c r="R17" s="438"/>
      <c r="S17" s="438">
        <f>+O17-N17</f>
        <v>0</v>
      </c>
      <c r="T17" s="438"/>
    </row>
    <row r="18" spans="1:20" ht="31.5" x14ac:dyDescent="0.25">
      <c r="A18" s="451" t="s">
        <v>512</v>
      </c>
      <c r="B18" s="452">
        <v>1709783</v>
      </c>
      <c r="C18" s="452">
        <f>1189049-300000</f>
        <v>889049</v>
      </c>
      <c r="D18" s="452">
        <f>1122906</f>
        <v>1122906</v>
      </c>
      <c r="E18" s="452">
        <f>4774342-1000000-100000-43719-24300</f>
        <v>3606323</v>
      </c>
      <c r="F18" s="452">
        <f>1168717</f>
        <v>1168717</v>
      </c>
      <c r="G18" s="452">
        <f>1722310-80000</f>
        <v>1642310</v>
      </c>
      <c r="H18" s="452">
        <f>1188717-140000</f>
        <v>1048717</v>
      </c>
      <c r="I18" s="452">
        <f>1175570-140000</f>
        <v>1035570</v>
      </c>
      <c r="J18" s="452">
        <f>1221310-140000</f>
        <v>1081310</v>
      </c>
      <c r="K18" s="452">
        <f>1241310-150000</f>
        <v>1091310</v>
      </c>
      <c r="L18" s="452">
        <f>1097781+600000</f>
        <v>1697781</v>
      </c>
      <c r="M18" s="452">
        <f>1097781+658479+250+615059+401</f>
        <v>2371970</v>
      </c>
      <c r="N18" s="453">
        <f t="shared" si="5"/>
        <v>18465746</v>
      </c>
      <c r="O18" s="441">
        <f>+O24-O17-O19-O20-O21-O22-O23</f>
        <v>18465746</v>
      </c>
      <c r="P18" s="457" t="s">
        <v>921</v>
      </c>
      <c r="Q18" s="441">
        <f>+O18-N18</f>
        <v>0</v>
      </c>
      <c r="R18" s="438"/>
      <c r="S18" s="438"/>
    </row>
    <row r="19" spans="1:20" x14ac:dyDescent="0.25">
      <c r="A19" s="451" t="s">
        <v>304</v>
      </c>
      <c r="B19" s="452">
        <v>14013</v>
      </c>
      <c r="C19" s="452">
        <v>922</v>
      </c>
      <c r="D19" s="452">
        <v>3441</v>
      </c>
      <c r="E19" s="452">
        <v>1</v>
      </c>
      <c r="F19" s="452">
        <v>650</v>
      </c>
      <c r="G19" s="452">
        <v>601</v>
      </c>
      <c r="H19" s="452">
        <v>13266</v>
      </c>
      <c r="I19" s="452">
        <v>0</v>
      </c>
      <c r="J19" s="452">
        <v>1244</v>
      </c>
      <c r="K19" s="452">
        <v>4605</v>
      </c>
      <c r="L19" s="452">
        <v>40500</v>
      </c>
      <c r="M19" s="452">
        <f>90030+397</f>
        <v>90427</v>
      </c>
      <c r="N19" s="453">
        <f t="shared" si="5"/>
        <v>169670</v>
      </c>
      <c r="O19" s="441">
        <v>169670</v>
      </c>
      <c r="P19" s="457" t="s">
        <v>922</v>
      </c>
      <c r="Q19" s="441">
        <f>+O19-N19</f>
        <v>0</v>
      </c>
    </row>
    <row r="20" spans="1:20" s="438" customFormat="1" x14ac:dyDescent="0.25">
      <c r="A20" s="451" t="s">
        <v>518</v>
      </c>
      <c r="B20" s="452">
        <v>75420</v>
      </c>
      <c r="C20" s="452">
        <v>1108</v>
      </c>
      <c r="D20" s="452">
        <v>35494</v>
      </c>
      <c r="E20" s="452">
        <v>20294</v>
      </c>
      <c r="F20" s="452">
        <v>48349</v>
      </c>
      <c r="G20" s="452">
        <v>144134</v>
      </c>
      <c r="H20" s="452">
        <v>55785</v>
      </c>
      <c r="I20" s="452">
        <v>70473</v>
      </c>
      <c r="J20" s="452">
        <v>123328</v>
      </c>
      <c r="K20" s="452">
        <v>79446</v>
      </c>
      <c r="L20" s="452">
        <v>348227</v>
      </c>
      <c r="M20" s="452">
        <f>348227+91</f>
        <v>348318</v>
      </c>
      <c r="N20" s="453">
        <f t="shared" si="5"/>
        <v>1350376</v>
      </c>
      <c r="O20" s="441">
        <f>+'11melléklet '!E86</f>
        <v>1350376</v>
      </c>
      <c r="P20" s="547" t="s">
        <v>922</v>
      </c>
      <c r="Q20" s="441">
        <f>+O20-N20</f>
        <v>0</v>
      </c>
    </row>
    <row r="21" spans="1:20" s="438" customFormat="1" ht="45.75" customHeight="1" x14ac:dyDescent="0.25">
      <c r="A21" s="451" t="s">
        <v>513</v>
      </c>
      <c r="B21" s="452">
        <v>165484</v>
      </c>
      <c r="C21" s="452">
        <v>132259</v>
      </c>
      <c r="D21" s="452">
        <v>575955</v>
      </c>
      <c r="E21" s="452">
        <v>225613</v>
      </c>
      <c r="F21" s="452">
        <v>465269</v>
      </c>
      <c r="G21" s="452">
        <v>462235</v>
      </c>
      <c r="H21" s="452">
        <v>378211</v>
      </c>
      <c r="I21" s="452">
        <v>1440324</v>
      </c>
      <c r="J21" s="452">
        <v>373888</v>
      </c>
      <c r="K21" s="452">
        <v>495024</v>
      </c>
      <c r="L21" s="452">
        <v>13084713</v>
      </c>
      <c r="M21" s="452">
        <f>9417859+2154758-99</f>
        <v>11572518</v>
      </c>
      <c r="N21" s="453">
        <f t="shared" si="5"/>
        <v>29371493</v>
      </c>
      <c r="O21" s="441">
        <f>+'11melléklet '!E87+'11melléklet '!E88</f>
        <v>29371493</v>
      </c>
      <c r="P21" s="547" t="s">
        <v>923</v>
      </c>
      <c r="Q21" s="441">
        <f t="shared" ref="Q21:Q23" si="6">+O21-N21</f>
        <v>0</v>
      </c>
    </row>
    <row r="22" spans="1:20" s="438" customFormat="1" x14ac:dyDescent="0.25">
      <c r="A22" s="451" t="s">
        <v>514</v>
      </c>
      <c r="B22" s="452"/>
      <c r="C22" s="452"/>
      <c r="D22" s="452"/>
      <c r="E22" s="452">
        <f>150000+85921+100000</f>
        <v>335921</v>
      </c>
      <c r="F22" s="452"/>
      <c r="G22" s="452">
        <f>250000+85921+250000</f>
        <v>585921</v>
      </c>
      <c r="H22" s="452"/>
      <c r="I22" s="452"/>
      <c r="J22" s="452">
        <f>300000+85921+300000+300000</f>
        <v>985921</v>
      </c>
      <c r="K22" s="452"/>
      <c r="L22" s="452"/>
      <c r="M22" s="452">
        <f>1706688+832173-30370-250+1511246</f>
        <v>4019487</v>
      </c>
      <c r="N22" s="453">
        <f t="shared" si="5"/>
        <v>5927250</v>
      </c>
      <c r="O22" s="441">
        <f>+'11melléklet '!E238+'11melléklet '!E239</f>
        <v>5927250</v>
      </c>
      <c r="P22" s="547" t="s">
        <v>925</v>
      </c>
      <c r="Q22" s="441">
        <f t="shared" si="6"/>
        <v>0</v>
      </c>
    </row>
    <row r="23" spans="1:20" s="438" customFormat="1" ht="31.5" x14ac:dyDescent="0.25">
      <c r="A23" s="463" t="s">
        <v>515</v>
      </c>
      <c r="B23" s="464">
        <v>163966</v>
      </c>
      <c r="C23" s="464"/>
      <c r="D23" s="464"/>
      <c r="E23" s="464"/>
      <c r="F23" s="464"/>
      <c r="H23" s="464"/>
      <c r="I23" s="464"/>
      <c r="J23" s="464"/>
      <c r="K23" s="464"/>
      <c r="L23" s="464"/>
      <c r="M23" s="464"/>
      <c r="N23" s="465">
        <f>SUM(B23:M23)</f>
        <v>163966</v>
      </c>
      <c r="O23" s="441">
        <v>163966</v>
      </c>
      <c r="P23" s="547"/>
      <c r="Q23" s="441">
        <f t="shared" si="6"/>
        <v>0</v>
      </c>
    </row>
    <row r="24" spans="1:20" s="438" customFormat="1" ht="16.5" thickBot="1" x14ac:dyDescent="0.3">
      <c r="A24" s="454" t="s">
        <v>516</v>
      </c>
      <c r="B24" s="455">
        <f t="shared" ref="B24:N24" si="7">SUM(B17:B23)</f>
        <v>3309493</v>
      </c>
      <c r="C24" s="455">
        <f t="shared" si="7"/>
        <v>2158235</v>
      </c>
      <c r="D24" s="455">
        <f t="shared" si="7"/>
        <v>2963612</v>
      </c>
      <c r="E24" s="455">
        <f t="shared" si="7"/>
        <v>5133366</v>
      </c>
      <c r="F24" s="455">
        <f t="shared" si="7"/>
        <v>2643012</v>
      </c>
      <c r="G24" s="455">
        <f t="shared" si="7"/>
        <v>3771380</v>
      </c>
      <c r="H24" s="455">
        <f t="shared" si="7"/>
        <v>2545201</v>
      </c>
      <c r="I24" s="455">
        <f t="shared" si="7"/>
        <v>3592620</v>
      </c>
      <c r="J24" s="455">
        <f t="shared" si="7"/>
        <v>3487975</v>
      </c>
      <c r="K24" s="455">
        <f t="shared" si="7"/>
        <v>2818571</v>
      </c>
      <c r="L24" s="455">
        <f t="shared" si="7"/>
        <v>17426074</v>
      </c>
      <c r="M24" s="466">
        <f t="shared" si="7"/>
        <v>20942617</v>
      </c>
      <c r="N24" s="455">
        <f t="shared" si="7"/>
        <v>70792156</v>
      </c>
      <c r="O24" s="547">
        <v>70792156</v>
      </c>
      <c r="P24" s="547">
        <f>+O24-O14</f>
        <v>0</v>
      </c>
      <c r="Q24" s="441"/>
    </row>
    <row r="25" spans="1:20" s="438" customFormat="1" ht="73.5" customHeight="1" x14ac:dyDescent="0.25">
      <c r="A25" s="445"/>
      <c r="B25" s="439"/>
      <c r="C25" s="439"/>
      <c r="D25" s="439"/>
      <c r="E25" s="439"/>
      <c r="F25" s="439"/>
      <c r="G25" s="439"/>
      <c r="H25" s="439"/>
      <c r="I25" s="439"/>
      <c r="J25" s="439"/>
      <c r="K25" s="439"/>
      <c r="L25" s="439"/>
      <c r="M25" s="439"/>
      <c r="N25" s="467"/>
      <c r="O25" s="441"/>
      <c r="P25" s="547"/>
      <c r="Q25" s="441"/>
    </row>
    <row r="26" spans="1:20" s="438" customFormat="1" ht="31.5" x14ac:dyDescent="0.25">
      <c r="A26" s="468" t="s">
        <v>790</v>
      </c>
      <c r="B26" s="469">
        <f>3055001</f>
        <v>3055001</v>
      </c>
      <c r="C26" s="469">
        <f>+B28</f>
        <v>1179017</v>
      </c>
      <c r="D26" s="469">
        <f t="shared" ref="D26:M26" si="8">+C28</f>
        <v>22034</v>
      </c>
      <c r="E26" s="469">
        <f t="shared" si="8"/>
        <v>5270864</v>
      </c>
      <c r="F26" s="469">
        <f t="shared" si="8"/>
        <v>30815323</v>
      </c>
      <c r="G26" s="469">
        <f t="shared" si="8"/>
        <v>32542073</v>
      </c>
      <c r="H26" s="469">
        <f t="shared" si="8"/>
        <v>29718695</v>
      </c>
      <c r="I26" s="469">
        <f t="shared" si="8"/>
        <v>28998136</v>
      </c>
      <c r="J26" s="469">
        <f t="shared" si="8"/>
        <v>26860041</v>
      </c>
      <c r="K26" s="469">
        <f t="shared" si="8"/>
        <v>32625687</v>
      </c>
      <c r="L26" s="469">
        <f t="shared" si="8"/>
        <v>31106587</v>
      </c>
      <c r="M26" s="469">
        <f t="shared" si="8"/>
        <v>16119791</v>
      </c>
      <c r="N26" s="467"/>
      <c r="O26" s="441"/>
      <c r="P26" s="547"/>
      <c r="Q26" s="441"/>
    </row>
    <row r="27" spans="1:20" s="438" customFormat="1" ht="47.25" x14ac:dyDescent="0.25">
      <c r="A27" s="468" t="s">
        <v>791</v>
      </c>
      <c r="B27" s="469">
        <f>+B14-B24-B13+B13</f>
        <v>-1875984</v>
      </c>
      <c r="C27" s="469">
        <f>+C14-C24-C13+C13</f>
        <v>-1156983</v>
      </c>
      <c r="D27" s="469">
        <f t="shared" ref="D27:M27" si="9">+D14-D24-D13+D13</f>
        <v>5248830</v>
      </c>
      <c r="E27" s="469">
        <f t="shared" si="9"/>
        <v>25544459</v>
      </c>
      <c r="F27" s="469">
        <f t="shared" si="9"/>
        <v>1726750</v>
      </c>
      <c r="G27" s="469">
        <f t="shared" si="9"/>
        <v>-2823378</v>
      </c>
      <c r="H27" s="469">
        <f t="shared" si="9"/>
        <v>-720559</v>
      </c>
      <c r="I27" s="469">
        <f t="shared" si="9"/>
        <v>-2138095</v>
      </c>
      <c r="J27" s="469">
        <f t="shared" si="9"/>
        <v>5765646</v>
      </c>
      <c r="K27" s="469">
        <f t="shared" si="9"/>
        <v>-1519100</v>
      </c>
      <c r="L27" s="469">
        <f t="shared" si="9"/>
        <v>-14986796</v>
      </c>
      <c r="M27" s="469">
        <f t="shared" si="9"/>
        <v>-13064790</v>
      </c>
      <c r="N27" s="467"/>
      <c r="O27" s="441"/>
      <c r="P27" s="547"/>
      <c r="Q27" s="441"/>
    </row>
    <row r="28" spans="1:20" s="438" customFormat="1" ht="47.25" x14ac:dyDescent="0.25">
      <c r="A28" s="468" t="s">
        <v>560</v>
      </c>
      <c r="B28" s="469">
        <f t="shared" ref="B28:M28" si="10">+B26+B27</f>
        <v>1179017</v>
      </c>
      <c r="C28" s="469">
        <f t="shared" si="10"/>
        <v>22034</v>
      </c>
      <c r="D28" s="469">
        <f t="shared" si="10"/>
        <v>5270864</v>
      </c>
      <c r="E28" s="469">
        <f t="shared" si="10"/>
        <v>30815323</v>
      </c>
      <c r="F28" s="469">
        <f t="shared" si="10"/>
        <v>32542073</v>
      </c>
      <c r="G28" s="469">
        <f t="shared" si="10"/>
        <v>29718695</v>
      </c>
      <c r="H28" s="469">
        <f t="shared" si="10"/>
        <v>28998136</v>
      </c>
      <c r="I28" s="469">
        <f t="shared" si="10"/>
        <v>26860041</v>
      </c>
      <c r="J28" s="469">
        <f t="shared" si="10"/>
        <v>32625687</v>
      </c>
      <c r="K28" s="469">
        <f t="shared" si="10"/>
        <v>31106587</v>
      </c>
      <c r="L28" s="469">
        <f t="shared" si="10"/>
        <v>16119791</v>
      </c>
      <c r="M28" s="469">
        <f t="shared" si="10"/>
        <v>3055001</v>
      </c>
      <c r="N28" s="467"/>
      <c r="O28" s="441"/>
      <c r="P28" s="547"/>
      <c r="Q28" s="441"/>
    </row>
    <row r="29" spans="1:20" s="438" customFormat="1" x14ac:dyDescent="0.25">
      <c r="A29" s="437"/>
      <c r="N29" s="470"/>
      <c r="O29" s="441"/>
      <c r="P29" s="547"/>
      <c r="Q29" s="441"/>
    </row>
    <row r="30" spans="1:20" x14ac:dyDescent="0.25">
      <c r="B30" s="439"/>
      <c r="C30" s="439"/>
      <c r="D30" s="439"/>
      <c r="E30" s="439"/>
      <c r="F30" s="439"/>
      <c r="G30" s="439"/>
      <c r="H30" s="439"/>
      <c r="I30" s="439"/>
      <c r="J30" s="439"/>
      <c r="K30" s="439"/>
      <c r="L30" s="439"/>
      <c r="M30" s="439"/>
      <c r="N30" s="439"/>
    </row>
    <row r="31" spans="1:20" x14ac:dyDescent="0.25">
      <c r="A31" s="437" t="s">
        <v>517</v>
      </c>
    </row>
    <row r="33" spans="1:14" x14ac:dyDescent="0.25">
      <c r="A33" s="162"/>
    </row>
    <row r="35" spans="1:14" x14ac:dyDescent="0.25">
      <c r="A35" s="458"/>
      <c r="B35" s="439"/>
      <c r="C35" s="439"/>
      <c r="D35" s="439"/>
      <c r="E35" s="439"/>
      <c r="F35" s="439"/>
      <c r="G35" s="439"/>
      <c r="H35" s="439"/>
      <c r="I35" s="439"/>
      <c r="J35" s="439"/>
      <c r="K35" s="439"/>
      <c r="L35" s="439"/>
      <c r="M35" s="439"/>
      <c r="N35" s="439"/>
    </row>
    <row r="37" spans="1:14" x14ac:dyDescent="0.25">
      <c r="A37" s="471"/>
      <c r="B37" s="472"/>
      <c r="C37" s="472"/>
      <c r="D37" s="472"/>
      <c r="E37" s="472"/>
      <c r="F37" s="472"/>
      <c r="H37" s="472"/>
      <c r="I37" s="472"/>
      <c r="J37" s="472"/>
      <c r="K37" s="472"/>
      <c r="L37" s="472"/>
      <c r="M37" s="472"/>
      <c r="N37" s="472"/>
    </row>
  </sheetData>
  <mergeCells count="1">
    <mergeCell ref="A1:N1"/>
  </mergeCells>
  <pageMargins left="0.51181102362204722" right="0.51181102362204722" top="0.74803149606299213" bottom="0.35433070866141736" header="0.31496062992125984" footer="0.31496062992125984"/>
  <pageSetup paperSize="9" scale="68" orientation="landscape" r:id="rId1"/>
  <headerFooter>
    <oddHeader>&amp;C&amp;"Times New Roman CE,Félkövér"
&amp;R&amp;"Times New Roman CE,Félkövér" 16. melléklet a 12/2021.(II.25.) önkormánízati rendelethez 
&amp;"Times New Roman CE,Dőlt"17. melléklet
az 5/2020.(II.17.) önkorm. rendelethez</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EDE304-B705-4A9C-8BF7-3517C9A01CD1}">
  <sheetPr>
    <pageSetUpPr fitToPage="1"/>
  </sheetPr>
  <dimension ref="A1:N37"/>
  <sheetViews>
    <sheetView topLeftCell="A25" zoomScale="80" zoomScaleNormal="80" workbookViewId="0">
      <selection activeCell="A34" sqref="A34"/>
    </sheetView>
  </sheetViews>
  <sheetFormatPr defaultColWidth="8" defaultRowHeight="15.75" x14ac:dyDescent="0.25"/>
  <cols>
    <col min="1" max="1" width="53.375" style="849" bestFit="1" customWidth="1"/>
    <col min="2" max="2" width="12.375" style="849" customWidth="1"/>
    <col min="3" max="3" width="12.125" style="849" customWidth="1"/>
    <col min="4" max="4" width="11.75" style="849" customWidth="1"/>
    <col min="5" max="7" width="13.625" style="849" customWidth="1"/>
    <col min="8" max="8" width="0" style="849" hidden="1" customWidth="1"/>
    <col min="9" max="9" width="13" style="436" hidden="1" customWidth="1"/>
    <col min="10" max="10" width="10.375" style="849" hidden="1" customWidth="1"/>
    <col min="11" max="11" width="6.125" style="849" hidden="1" customWidth="1"/>
    <col min="12" max="12" width="9.75" style="849" customWidth="1"/>
    <col min="13" max="13" width="12.25" style="849" bestFit="1" customWidth="1"/>
    <col min="14" max="14" width="9.125" style="849" bestFit="1" customWidth="1"/>
    <col min="15" max="16384" width="8" style="849"/>
  </cols>
  <sheetData>
    <row r="1" spans="1:10" ht="18.75" x14ac:dyDescent="0.3">
      <c r="A1" s="1021" t="s">
        <v>918</v>
      </c>
      <c r="B1" s="1021"/>
      <c r="C1" s="1021"/>
      <c r="D1" s="1021"/>
      <c r="E1" s="1021"/>
      <c r="F1" s="1021"/>
      <c r="G1" s="1021"/>
    </row>
    <row r="2" spans="1:10" ht="18.75" x14ac:dyDescent="0.3">
      <c r="A2" s="1021" t="s">
        <v>919</v>
      </c>
      <c r="B2" s="1021"/>
      <c r="C2" s="1021"/>
      <c r="D2" s="1021"/>
      <c r="E2" s="1021"/>
      <c r="F2" s="1021"/>
      <c r="G2" s="1021"/>
      <c r="I2" s="504"/>
    </row>
    <row r="3" spans="1:10" x14ac:dyDescent="0.25">
      <c r="I3" s="504"/>
    </row>
    <row r="4" spans="1:10" ht="16.5" thickBot="1" x14ac:dyDescent="0.3">
      <c r="A4" s="850"/>
      <c r="B4" s="850"/>
      <c r="C4" s="850"/>
      <c r="D4" s="850"/>
      <c r="E4" s="850"/>
      <c r="F4" s="850"/>
      <c r="G4" s="850"/>
    </row>
    <row r="5" spans="1:10" s="853" customFormat="1" ht="33" thickTop="1" thickBot="1" x14ac:dyDescent="0.3">
      <c r="A5" s="851" t="s">
        <v>136</v>
      </c>
      <c r="B5" s="852" t="s">
        <v>797</v>
      </c>
      <c r="C5" s="852" t="s">
        <v>798</v>
      </c>
      <c r="D5" s="852" t="s">
        <v>799</v>
      </c>
      <c r="E5" s="852" t="s">
        <v>800</v>
      </c>
      <c r="F5" s="852" t="s">
        <v>801</v>
      </c>
      <c r="G5" s="852" t="s">
        <v>487</v>
      </c>
      <c r="I5" s="505"/>
    </row>
    <row r="6" spans="1:10" ht="17.25" thickTop="1" thickBot="1" x14ac:dyDescent="0.3">
      <c r="A6" s="854" t="s">
        <v>137</v>
      </c>
      <c r="B6" s="854" t="s">
        <v>138</v>
      </c>
      <c r="C6" s="854" t="s">
        <v>139</v>
      </c>
      <c r="D6" s="854" t="s">
        <v>140</v>
      </c>
      <c r="E6" s="854" t="s">
        <v>141</v>
      </c>
      <c r="F6" s="855" t="s">
        <v>142</v>
      </c>
      <c r="G6" s="855" t="s">
        <v>802</v>
      </c>
    </row>
    <row r="7" spans="1:10" ht="16.5" thickTop="1" x14ac:dyDescent="0.25">
      <c r="A7" s="856"/>
      <c r="B7" s="857"/>
      <c r="C7" s="857"/>
      <c r="D7" s="857"/>
      <c r="E7" s="857"/>
      <c r="F7" s="857"/>
      <c r="G7" s="857"/>
    </row>
    <row r="8" spans="1:10" ht="31.5" x14ac:dyDescent="0.25">
      <c r="A8" s="858" t="s">
        <v>803</v>
      </c>
      <c r="B8" s="859"/>
      <c r="C8" s="859"/>
      <c r="D8" s="859"/>
      <c r="E8" s="859"/>
      <c r="F8" s="859"/>
      <c r="G8" s="860"/>
    </row>
    <row r="9" spans="1:10" x14ac:dyDescent="0.25">
      <c r="A9" s="861" t="s">
        <v>739</v>
      </c>
      <c r="B9" s="862">
        <f>1827363-1316538</f>
        <v>510825</v>
      </c>
      <c r="C9" s="862">
        <v>1316538</v>
      </c>
      <c r="D9" s="862"/>
      <c r="E9" s="862"/>
      <c r="F9" s="862"/>
      <c r="G9" s="860">
        <f t="shared" ref="G9:G24" si="0">SUM(B9:F9)</f>
        <v>1827363</v>
      </c>
    </row>
    <row r="10" spans="1:10" x14ac:dyDescent="0.25">
      <c r="A10" s="861" t="s">
        <v>477</v>
      </c>
      <c r="B10" s="862">
        <f>1204213+116134</f>
        <v>1320347</v>
      </c>
      <c r="C10" s="862">
        <f>450582-116134</f>
        <v>334448</v>
      </c>
      <c r="D10" s="862"/>
      <c r="E10" s="862"/>
      <c r="F10" s="862"/>
      <c r="G10" s="860">
        <f t="shared" si="0"/>
        <v>1654795</v>
      </c>
    </row>
    <row r="11" spans="1:10" ht="47.25" x14ac:dyDescent="0.25">
      <c r="A11" s="861" t="s">
        <v>804</v>
      </c>
      <c r="B11" s="862">
        <v>1174224</v>
      </c>
      <c r="C11" s="862"/>
      <c r="D11" s="862"/>
      <c r="E11" s="862"/>
      <c r="F11" s="862"/>
      <c r="G11" s="860">
        <f t="shared" si="0"/>
        <v>1174224</v>
      </c>
      <c r="H11" s="849" t="s">
        <v>980</v>
      </c>
    </row>
    <row r="12" spans="1:10" ht="31.5" x14ac:dyDescent="0.25">
      <c r="A12" s="861" t="s">
        <v>556</v>
      </c>
      <c r="B12" s="862">
        <f>523800+161442</f>
        <v>685242</v>
      </c>
      <c r="C12" s="862">
        <f>254464-161442</f>
        <v>93022</v>
      </c>
      <c r="D12" s="862"/>
      <c r="E12" s="862"/>
      <c r="F12" s="862"/>
      <c r="G12" s="860">
        <f t="shared" si="0"/>
        <v>778264</v>
      </c>
    </row>
    <row r="13" spans="1:10" x14ac:dyDescent="0.25">
      <c r="A13" s="861" t="s">
        <v>805</v>
      </c>
      <c r="B13" s="862">
        <f>456209-343141-113911+8132+91</f>
        <v>7380</v>
      </c>
      <c r="C13" s="862">
        <f>261840-91</f>
        <v>261749</v>
      </c>
      <c r="D13" s="862"/>
      <c r="E13" s="862"/>
      <c r="F13" s="862"/>
      <c r="G13" s="860">
        <f t="shared" si="0"/>
        <v>269129</v>
      </c>
    </row>
    <row r="14" spans="1:10" x14ac:dyDescent="0.25">
      <c r="A14" s="861" t="s">
        <v>806</v>
      </c>
      <c r="B14" s="862">
        <v>849</v>
      </c>
      <c r="C14" s="862"/>
      <c r="D14" s="862"/>
      <c r="E14" s="862"/>
      <c r="F14" s="862"/>
      <c r="G14" s="860">
        <f t="shared" si="0"/>
        <v>849</v>
      </c>
    </row>
    <row r="15" spans="1:10" x14ac:dyDescent="0.25">
      <c r="A15" s="861" t="s">
        <v>807</v>
      </c>
      <c r="B15" s="862">
        <f>6598+1293</f>
        <v>7891</v>
      </c>
      <c r="C15" s="862">
        <f>6878-1293</f>
        <v>5585</v>
      </c>
      <c r="D15" s="862">
        <v>15800</v>
      </c>
      <c r="E15" s="862">
        <v>1265</v>
      </c>
      <c r="F15" s="862"/>
      <c r="G15" s="860">
        <f t="shared" si="0"/>
        <v>30541</v>
      </c>
    </row>
    <row r="16" spans="1:10" x14ac:dyDescent="0.25">
      <c r="A16" s="861" t="s">
        <v>808</v>
      </c>
      <c r="B16" s="862">
        <f>5790724+3703228</f>
        <v>9493952</v>
      </c>
      <c r="C16" s="862">
        <f>5070380-3703228</f>
        <v>1367152</v>
      </c>
      <c r="D16" s="862">
        <v>4647848</v>
      </c>
      <c r="E16" s="862"/>
      <c r="F16" s="862"/>
      <c r="G16" s="860">
        <f t="shared" si="0"/>
        <v>15508952</v>
      </c>
      <c r="I16" s="849" t="s">
        <v>982</v>
      </c>
      <c r="J16" s="436">
        <v>4479529</v>
      </c>
    </row>
    <row r="17" spans="1:14" x14ac:dyDescent="0.25">
      <c r="A17" s="861" t="s">
        <v>734</v>
      </c>
      <c r="B17" s="862">
        <f>2375883-1585413</f>
        <v>790470</v>
      </c>
      <c r="C17" s="862">
        <f>1626110+29080</f>
        <v>1655190</v>
      </c>
      <c r="D17" s="862">
        <v>1062432</v>
      </c>
      <c r="E17" s="862">
        <f>971437-273714</f>
        <v>697723</v>
      </c>
      <c r="F17" s="862"/>
      <c r="G17" s="860">
        <f t="shared" si="0"/>
        <v>4205815</v>
      </c>
      <c r="I17" s="849" t="s">
        <v>981</v>
      </c>
      <c r="J17" s="506">
        <v>-273714</v>
      </c>
    </row>
    <row r="18" spans="1:14" x14ac:dyDescent="0.25">
      <c r="A18" s="861" t="s">
        <v>809</v>
      </c>
      <c r="B18" s="862">
        <f>253279+4758</f>
        <v>258037</v>
      </c>
      <c r="C18" s="862"/>
      <c r="D18" s="862"/>
      <c r="E18" s="862"/>
      <c r="F18" s="862"/>
      <c r="G18" s="860">
        <f t="shared" si="0"/>
        <v>258037</v>
      </c>
      <c r="J18" s="863">
        <f>+J16+J17</f>
        <v>4205815</v>
      </c>
    </row>
    <row r="19" spans="1:14" x14ac:dyDescent="0.25">
      <c r="A19" s="861" t="s">
        <v>478</v>
      </c>
      <c r="B19" s="862">
        <f>1243432-62420</f>
        <v>1181012</v>
      </c>
      <c r="C19" s="862">
        <v>62420</v>
      </c>
      <c r="D19" s="862"/>
      <c r="E19" s="862"/>
      <c r="F19" s="862"/>
      <c r="G19" s="860">
        <f t="shared" si="0"/>
        <v>1243432</v>
      </c>
    </row>
    <row r="20" spans="1:14" x14ac:dyDescent="0.25">
      <c r="A20" s="861" t="s">
        <v>810</v>
      </c>
      <c r="B20" s="862">
        <f>199696-195633+100</f>
        <v>4163</v>
      </c>
      <c r="C20" s="862">
        <f>195633-100</f>
        <v>195533</v>
      </c>
      <c r="D20" s="862">
        <f>900000+900000</f>
        <v>1800000</v>
      </c>
      <c r="E20" s="862"/>
      <c r="F20" s="862"/>
      <c r="G20" s="860">
        <f t="shared" si="0"/>
        <v>1999696</v>
      </c>
      <c r="I20" s="436">
        <v>1999696</v>
      </c>
    </row>
    <row r="21" spans="1:14" ht="31.5" x14ac:dyDescent="0.25">
      <c r="A21" s="861" t="s">
        <v>811</v>
      </c>
      <c r="B21" s="862">
        <v>2575142</v>
      </c>
      <c r="C21" s="862">
        <v>2901050</v>
      </c>
      <c r="D21" s="862"/>
      <c r="E21" s="862"/>
      <c r="F21" s="862"/>
      <c r="G21" s="860">
        <f t="shared" si="0"/>
        <v>5476192</v>
      </c>
    </row>
    <row r="22" spans="1:14" ht="47.25" x14ac:dyDescent="0.25">
      <c r="A22" s="861" t="s">
        <v>1036</v>
      </c>
      <c r="B22" s="862">
        <v>650000</v>
      </c>
      <c r="C22" s="862"/>
      <c r="D22" s="862"/>
      <c r="E22" s="862"/>
      <c r="F22" s="862"/>
      <c r="G22" s="860">
        <f t="shared" si="0"/>
        <v>650000</v>
      </c>
    </row>
    <row r="23" spans="1:14" ht="63" x14ac:dyDescent="0.25">
      <c r="A23" s="861" t="s">
        <v>730</v>
      </c>
      <c r="B23" s="862">
        <f>2380251+6375+1500000</f>
        <v>3886626</v>
      </c>
      <c r="C23" s="862"/>
      <c r="D23" s="862"/>
      <c r="E23" s="862"/>
      <c r="F23" s="862"/>
      <c r="G23" s="860">
        <f t="shared" ref="G23" si="1">SUM(B23:F23)</f>
        <v>3886626</v>
      </c>
      <c r="L23" s="473"/>
      <c r="M23" s="473"/>
    </row>
    <row r="24" spans="1:14" ht="32.25" thickBot="1" x14ac:dyDescent="0.3">
      <c r="A24" s="861" t="s">
        <v>979</v>
      </c>
      <c r="B24" s="862">
        <v>874625</v>
      </c>
      <c r="C24" s="862"/>
      <c r="D24" s="862"/>
      <c r="E24" s="862"/>
      <c r="F24" s="862"/>
      <c r="G24" s="860">
        <f t="shared" si="0"/>
        <v>874625</v>
      </c>
      <c r="L24" s="473"/>
      <c r="M24" s="473"/>
    </row>
    <row r="25" spans="1:14" ht="33" customHeight="1" thickTop="1" thickBot="1" x14ac:dyDescent="0.3">
      <c r="A25" s="927" t="s">
        <v>812</v>
      </c>
      <c r="B25" s="864">
        <f t="shared" ref="B25:G25" si="2">SUM(B9:B24)</f>
        <v>23420785</v>
      </c>
      <c r="C25" s="864">
        <f t="shared" si="2"/>
        <v>8192687</v>
      </c>
      <c r="D25" s="864">
        <f t="shared" si="2"/>
        <v>7526080</v>
      </c>
      <c r="E25" s="864">
        <f t="shared" si="2"/>
        <v>698988</v>
      </c>
      <c r="F25" s="864">
        <f t="shared" si="2"/>
        <v>0</v>
      </c>
      <c r="G25" s="864">
        <f t="shared" si="2"/>
        <v>39838540</v>
      </c>
    </row>
    <row r="26" spans="1:14" ht="16.5" thickTop="1" x14ac:dyDescent="0.25">
      <c r="A26" s="865"/>
      <c r="B26" s="866"/>
      <c r="C26" s="866"/>
      <c r="D26" s="866"/>
      <c r="E26" s="866"/>
      <c r="F26" s="866"/>
      <c r="G26" s="866"/>
    </row>
    <row r="27" spans="1:14" x14ac:dyDescent="0.25">
      <c r="A27" s="856" t="s">
        <v>813</v>
      </c>
      <c r="B27" s="857"/>
      <c r="C27" s="857"/>
      <c r="D27" s="857"/>
      <c r="E27" s="857"/>
      <c r="F27" s="857"/>
      <c r="G27" s="857"/>
    </row>
    <row r="28" spans="1:14" ht="31.5" x14ac:dyDescent="0.25">
      <c r="A28" s="867" t="s">
        <v>814</v>
      </c>
      <c r="B28" s="859">
        <v>22225</v>
      </c>
      <c r="C28" s="859">
        <v>22225</v>
      </c>
      <c r="D28" s="859">
        <v>22225</v>
      </c>
      <c r="E28" s="859">
        <v>22225</v>
      </c>
      <c r="F28" s="859"/>
      <c r="G28" s="860">
        <f>SUM(B28:F28)</f>
        <v>88900</v>
      </c>
    </row>
    <row r="29" spans="1:14" ht="48" thickBot="1" x14ac:dyDescent="0.3">
      <c r="A29" s="868" t="s">
        <v>819</v>
      </c>
      <c r="B29" s="859">
        <f>979317-605287</f>
        <v>374030</v>
      </c>
      <c r="C29" s="859">
        <f>194713+605287</f>
        <v>800000</v>
      </c>
      <c r="D29" s="859"/>
      <c r="E29" s="859"/>
      <c r="F29" s="859"/>
      <c r="G29" s="860">
        <f>SUM(B29:F29)</f>
        <v>1174030</v>
      </c>
      <c r="I29" s="436">
        <v>1174030</v>
      </c>
    </row>
    <row r="30" spans="1:14" ht="17.25" thickTop="1" thickBot="1" x14ac:dyDescent="0.3">
      <c r="A30" s="927" t="s">
        <v>815</v>
      </c>
      <c r="B30" s="864">
        <f t="shared" ref="B30:G30" si="3">SUM(B29:B29)</f>
        <v>374030</v>
      </c>
      <c r="C30" s="864">
        <f t="shared" si="3"/>
        <v>800000</v>
      </c>
      <c r="D30" s="864">
        <f t="shared" si="3"/>
        <v>0</v>
      </c>
      <c r="E30" s="864">
        <f t="shared" si="3"/>
        <v>0</v>
      </c>
      <c r="F30" s="864">
        <f t="shared" si="3"/>
        <v>0</v>
      </c>
      <c r="G30" s="864">
        <f t="shared" si="3"/>
        <v>1174030</v>
      </c>
      <c r="N30" s="869"/>
    </row>
    <row r="31" spans="1:14" ht="16.5" thickTop="1" x14ac:dyDescent="0.25">
      <c r="A31" s="865"/>
      <c r="B31" s="866"/>
      <c r="C31" s="866"/>
      <c r="D31" s="866"/>
      <c r="E31" s="866"/>
      <c r="F31" s="866"/>
      <c r="G31" s="866"/>
    </row>
    <row r="32" spans="1:14" x14ac:dyDescent="0.25">
      <c r="A32" s="870" t="s">
        <v>816</v>
      </c>
      <c r="B32" s="859"/>
      <c r="C32" s="859"/>
      <c r="D32" s="859"/>
      <c r="E32" s="859"/>
      <c r="F32" s="859"/>
      <c r="G32" s="860"/>
    </row>
    <row r="33" spans="1:7" ht="48" thickBot="1" x14ac:dyDescent="0.3">
      <c r="A33" s="871" t="s">
        <v>817</v>
      </c>
      <c r="B33" s="872">
        <v>63000</v>
      </c>
      <c r="C33" s="872">
        <v>63000</v>
      </c>
      <c r="D33" s="872">
        <v>63000</v>
      </c>
      <c r="E33" s="872"/>
      <c r="F33" s="872"/>
      <c r="G33" s="860">
        <f>SUM(B33:F33)</f>
        <v>189000</v>
      </c>
    </row>
    <row r="34" spans="1:7" ht="33" thickTop="1" thickBot="1" x14ac:dyDescent="0.3">
      <c r="A34" s="927" t="s">
        <v>818</v>
      </c>
      <c r="B34" s="864">
        <f t="shared" ref="B34:G34" si="4">SUM(B33:B33)</f>
        <v>63000</v>
      </c>
      <c r="C34" s="864">
        <f t="shared" si="4"/>
        <v>63000</v>
      </c>
      <c r="D34" s="864">
        <f t="shared" si="4"/>
        <v>63000</v>
      </c>
      <c r="E34" s="864">
        <f t="shared" si="4"/>
        <v>0</v>
      </c>
      <c r="F34" s="864">
        <f t="shared" si="4"/>
        <v>0</v>
      </c>
      <c r="G34" s="864">
        <f t="shared" si="4"/>
        <v>189000</v>
      </c>
    </row>
    <row r="35" spans="1:7" ht="17.25" thickTop="1" thickBot="1" x14ac:dyDescent="0.3">
      <c r="A35" s="873" t="s">
        <v>487</v>
      </c>
      <c r="B35" s="874">
        <f>SUM(B25,B30,B34)</f>
        <v>23857815</v>
      </c>
      <c r="C35" s="874">
        <f>SUM(C25,C30,C34)</f>
        <v>9055687</v>
      </c>
      <c r="D35" s="874">
        <f>SUM(D25,D30,D34)</f>
        <v>7589080</v>
      </c>
      <c r="E35" s="874">
        <f t="shared" ref="E35:F35" si="5">SUM(E25,E30,E34)</f>
        <v>698988</v>
      </c>
      <c r="F35" s="874">
        <f t="shared" si="5"/>
        <v>0</v>
      </c>
      <c r="G35" s="874">
        <f>SUM(G25,G30,G34)</f>
        <v>41201570</v>
      </c>
    </row>
    <row r="36" spans="1:7" ht="16.5" thickTop="1" x14ac:dyDescent="0.25">
      <c r="G36" s="875"/>
    </row>
    <row r="37" spans="1:7" x14ac:dyDescent="0.25">
      <c r="A37" s="162"/>
    </row>
  </sheetData>
  <mergeCells count="2">
    <mergeCell ref="A1:G1"/>
    <mergeCell ref="A2:G2"/>
  </mergeCells>
  <pageMargins left="0.55118110236220474" right="0.43307086614173229" top="0.94488188976377963" bottom="0.74803149606299213" header="0.35433070866141736" footer="0.31496062992125984"/>
  <pageSetup paperSize="9" scale="66" orientation="portrait" r:id="rId1"/>
  <headerFooter>
    <oddHeader>&amp;R&amp;"Times New Roman CE,Félkövér"17. melléklet a 12/2021. (II.25.) önkormányzati rendelethez
&amp;"Times New Roman CE,Dőlt"&amp;10 18. melléklet az 5/2020(II.17.) önkorányzati rendelethez</oddHead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746F9-0197-46B3-A8AF-0365BD8943C7}">
  <dimension ref="A1:AI62"/>
  <sheetViews>
    <sheetView view="pageBreakPreview" zoomScale="80" zoomScaleNormal="90" zoomScaleSheetLayoutView="80" workbookViewId="0">
      <pane xSplit="7" ySplit="7" topLeftCell="L8" activePane="bottomRight" state="frozen"/>
      <selection activeCell="F12" sqref="F12"/>
      <selection pane="topRight" activeCell="F12" sqref="F12"/>
      <selection pane="bottomLeft" activeCell="F12" sqref="F12"/>
      <selection pane="bottomRight" activeCell="X3" sqref="X3"/>
    </sheetView>
  </sheetViews>
  <sheetFormatPr defaultColWidth="9.25" defaultRowHeight="15" x14ac:dyDescent="0.25"/>
  <cols>
    <col min="1" max="1" width="4.5" style="876" customWidth="1"/>
    <col min="2" max="2" width="46.75" style="877" customWidth="1"/>
    <col min="3" max="3" width="14.75" style="877" customWidth="1"/>
    <col min="4" max="5" width="14.75" style="877" hidden="1" customWidth="1"/>
    <col min="6" max="6" width="19.25" style="876" customWidth="1"/>
    <col min="7" max="7" width="19.25" style="876" hidden="1" customWidth="1"/>
    <col min="8" max="8" width="8.375" style="876" customWidth="1"/>
    <col min="9" max="9" width="8.875" style="876" customWidth="1"/>
    <col min="10" max="10" width="9.25" style="876" customWidth="1"/>
    <col min="11" max="11" width="10.25" style="876" customWidth="1"/>
    <col min="12" max="12" width="8.875" style="876" customWidth="1"/>
    <col min="13" max="13" width="9.25" style="876" customWidth="1"/>
    <col min="14" max="14" width="8.375" style="876" customWidth="1"/>
    <col min="15" max="15" width="8.875" style="876" customWidth="1"/>
    <col min="16" max="16" width="9.25" style="876" customWidth="1"/>
    <col min="17" max="17" width="8.375" style="876" customWidth="1"/>
    <col min="18" max="18" width="8.875" style="876" customWidth="1"/>
    <col min="19" max="19" width="9.25" style="876" customWidth="1"/>
    <col min="20" max="20" width="8.375" style="876" customWidth="1"/>
    <col min="21" max="21" width="8.875" style="876" customWidth="1"/>
    <col min="22" max="22" width="12.25" style="876" customWidth="1"/>
    <col min="23" max="23" width="11.25" style="876" customWidth="1"/>
    <col min="24" max="24" width="8.875" style="876" customWidth="1"/>
    <col min="25" max="25" width="9.25" style="876" customWidth="1"/>
    <col min="26" max="26" width="9.125" style="876" bestFit="1" customWidth="1"/>
    <col min="27" max="27" width="10.5" style="876" customWidth="1"/>
    <col min="28" max="28" width="12.625" style="876" customWidth="1"/>
    <col min="29" max="29" width="11.625" style="876" customWidth="1"/>
    <col min="30" max="30" width="8.875" style="876" customWidth="1"/>
    <col min="31" max="31" width="9.25" style="876" customWidth="1"/>
    <col min="32" max="32" width="9.125" style="876" bestFit="1" customWidth="1"/>
    <col min="33" max="33" width="8.875" style="876" customWidth="1"/>
    <col min="34" max="34" width="9.25" style="876" customWidth="1"/>
    <col min="35" max="16384" width="9.25" style="876"/>
  </cols>
  <sheetData>
    <row r="1" spans="1:35" x14ac:dyDescent="0.25">
      <c r="S1" s="878"/>
      <c r="V1" s="878" t="s">
        <v>1311</v>
      </c>
      <c r="AE1" s="878"/>
      <c r="AH1" s="878" t="s">
        <v>1311</v>
      </c>
    </row>
    <row r="2" spans="1:35" x14ac:dyDescent="0.25">
      <c r="O2" s="879"/>
      <c r="P2" s="879"/>
      <c r="Q2" s="879"/>
      <c r="R2" s="879"/>
      <c r="V2" s="880" t="s">
        <v>1064</v>
      </c>
      <c r="AD2" s="881"/>
      <c r="AE2" s="879"/>
      <c r="AF2" s="879"/>
      <c r="AG2" s="879"/>
      <c r="AH2" s="880" t="s">
        <v>1064</v>
      </c>
      <c r="AI2" s="881"/>
    </row>
    <row r="3" spans="1:35" x14ac:dyDescent="0.25">
      <c r="O3" s="879"/>
      <c r="P3" s="879"/>
      <c r="Q3" s="879"/>
      <c r="R3" s="879"/>
      <c r="V3" s="880" t="s">
        <v>1127</v>
      </c>
      <c r="AD3" s="881"/>
      <c r="AE3" s="882"/>
      <c r="AF3" s="879"/>
      <c r="AG3" s="879"/>
      <c r="AH3" s="880" t="s">
        <v>1127</v>
      </c>
      <c r="AI3" s="881"/>
    </row>
    <row r="4" spans="1:35" x14ac:dyDescent="0.25">
      <c r="F4" s="883"/>
    </row>
    <row r="5" spans="1:35" ht="15.75" thickBot="1" x14ac:dyDescent="0.3">
      <c r="D5" s="877" t="s">
        <v>1058</v>
      </c>
      <c r="E5" s="877" t="s">
        <v>1058</v>
      </c>
      <c r="G5" s="876" t="s">
        <v>1058</v>
      </c>
    </row>
    <row r="6" spans="1:35" s="881" customFormat="1" thickBot="1" x14ac:dyDescent="0.25">
      <c r="A6" s="1026" t="s">
        <v>827</v>
      </c>
      <c r="B6" s="1028" t="s">
        <v>1065</v>
      </c>
      <c r="C6" s="1028" t="s">
        <v>1066</v>
      </c>
      <c r="D6" s="884"/>
      <c r="E6" s="885"/>
      <c r="F6" s="1028" t="s">
        <v>1067</v>
      </c>
      <c r="G6" s="886"/>
      <c r="H6" s="1022" t="s">
        <v>1068</v>
      </c>
      <c r="I6" s="1023"/>
      <c r="J6" s="1024"/>
      <c r="K6" s="1022" t="s">
        <v>1069</v>
      </c>
      <c r="L6" s="1023"/>
      <c r="M6" s="1024"/>
      <c r="N6" s="1022" t="s">
        <v>1070</v>
      </c>
      <c r="O6" s="1023"/>
      <c r="P6" s="1024"/>
      <c r="Q6" s="1022" t="s">
        <v>1071</v>
      </c>
      <c r="R6" s="1023"/>
      <c r="S6" s="1024"/>
      <c r="T6" s="1022" t="s">
        <v>1072</v>
      </c>
      <c r="U6" s="1023"/>
      <c r="V6" s="1024"/>
      <c r="W6" s="1022" t="s">
        <v>1073</v>
      </c>
      <c r="X6" s="1023"/>
      <c r="Y6" s="1024"/>
      <c r="Z6" s="1022" t="s">
        <v>1074</v>
      </c>
      <c r="AA6" s="1023"/>
      <c r="AB6" s="1024"/>
      <c r="AC6" s="1022" t="s">
        <v>1075</v>
      </c>
      <c r="AD6" s="1023"/>
      <c r="AE6" s="1024"/>
      <c r="AF6" s="1022" t="s">
        <v>1076</v>
      </c>
      <c r="AG6" s="1023"/>
      <c r="AH6" s="1024"/>
    </row>
    <row r="7" spans="1:35" s="892" customFormat="1" ht="29.25" thickBot="1" x14ac:dyDescent="0.25">
      <c r="A7" s="1027"/>
      <c r="B7" s="1029"/>
      <c r="C7" s="1030"/>
      <c r="D7" s="887" t="s">
        <v>1077</v>
      </c>
      <c r="E7" s="888" t="s">
        <v>1078</v>
      </c>
      <c r="F7" s="1030"/>
      <c r="G7" s="889" t="s">
        <v>1079</v>
      </c>
      <c r="H7" s="890" t="s">
        <v>1080</v>
      </c>
      <c r="I7" s="891" t="s">
        <v>1081</v>
      </c>
      <c r="J7" s="891" t="s">
        <v>143</v>
      </c>
      <c r="K7" s="890" t="s">
        <v>1080</v>
      </c>
      <c r="L7" s="891" t="s">
        <v>1081</v>
      </c>
      <c r="M7" s="891" t="s">
        <v>143</v>
      </c>
      <c r="N7" s="890" t="s">
        <v>1080</v>
      </c>
      <c r="O7" s="891" t="s">
        <v>1081</v>
      </c>
      <c r="P7" s="891" t="s">
        <v>143</v>
      </c>
      <c r="Q7" s="890" t="s">
        <v>1080</v>
      </c>
      <c r="R7" s="891" t="s">
        <v>1081</v>
      </c>
      <c r="S7" s="891" t="s">
        <v>143</v>
      </c>
      <c r="T7" s="890" t="s">
        <v>1080</v>
      </c>
      <c r="U7" s="891" t="s">
        <v>1081</v>
      </c>
      <c r="V7" s="891" t="s">
        <v>143</v>
      </c>
      <c r="W7" s="890" t="s">
        <v>1080</v>
      </c>
      <c r="X7" s="891" t="s">
        <v>1081</v>
      </c>
      <c r="Y7" s="891" t="s">
        <v>143</v>
      </c>
      <c r="Z7" s="890" t="s">
        <v>1080</v>
      </c>
      <c r="AA7" s="891" t="s">
        <v>1081</v>
      </c>
      <c r="AB7" s="891" t="s">
        <v>143</v>
      </c>
      <c r="AC7" s="890" t="s">
        <v>1080</v>
      </c>
      <c r="AD7" s="891" t="s">
        <v>1081</v>
      </c>
      <c r="AE7" s="891" t="s">
        <v>143</v>
      </c>
      <c r="AF7" s="890" t="s">
        <v>1080</v>
      </c>
      <c r="AG7" s="891" t="s">
        <v>1081</v>
      </c>
      <c r="AH7" s="891" t="s">
        <v>143</v>
      </c>
    </row>
    <row r="8" spans="1:35" x14ac:dyDescent="0.25">
      <c r="A8" s="893" t="s">
        <v>144</v>
      </c>
      <c r="B8" s="894" t="s">
        <v>1082</v>
      </c>
      <c r="C8" s="895" t="s">
        <v>1083</v>
      </c>
      <c r="D8" s="896">
        <v>0</v>
      </c>
      <c r="E8" s="897">
        <f t="shared" ref="E8:E9" si="0">+F8-G8</f>
        <v>0</v>
      </c>
      <c r="F8" s="898">
        <v>188332</v>
      </c>
      <c r="G8" s="899">
        <f t="shared" ref="G8:G12" si="1">+J8+M8+P8+S8+V8+Y8+AB8+AE8</f>
        <v>188332</v>
      </c>
      <c r="H8" s="899"/>
      <c r="I8" s="899"/>
      <c r="J8" s="900">
        <f t="shared" ref="J8:J44" si="2">SUM(H8:I8)</f>
        <v>0</v>
      </c>
      <c r="K8" s="899">
        <v>111331</v>
      </c>
      <c r="L8" s="899"/>
      <c r="M8" s="900">
        <f t="shared" ref="M8:M44" si="3">SUM(K8:L8)</f>
        <v>111331</v>
      </c>
      <c r="N8" s="899"/>
      <c r="O8" s="899"/>
      <c r="P8" s="900">
        <f t="shared" ref="P8:P44" si="4">SUM(N8:O8)</f>
        <v>0</v>
      </c>
      <c r="Q8" s="899">
        <v>76216</v>
      </c>
      <c r="R8" s="899"/>
      <c r="S8" s="900">
        <f t="shared" ref="S8:S44" si="5">SUM(Q8:R8)</f>
        <v>76216</v>
      </c>
      <c r="T8" s="899">
        <v>0</v>
      </c>
      <c r="U8" s="899"/>
      <c r="V8" s="900">
        <f t="shared" ref="V8:V44" si="6">SUM(T8:U8)</f>
        <v>0</v>
      </c>
      <c r="W8" s="899">
        <v>785</v>
      </c>
      <c r="X8" s="899"/>
      <c r="Y8" s="900">
        <f t="shared" ref="Y8:Y44" si="7">SUM(W8:X8)</f>
        <v>785</v>
      </c>
      <c r="Z8" s="899"/>
      <c r="AA8" s="899"/>
      <c r="AB8" s="900">
        <f t="shared" ref="AB8:AB44" si="8">SUM(Z8:AA8)</f>
        <v>0</v>
      </c>
      <c r="AC8" s="899"/>
      <c r="AD8" s="899"/>
      <c r="AE8" s="900">
        <f t="shared" ref="AE8:AE26" si="9">SUM(AC8:AD8)</f>
        <v>0</v>
      </c>
      <c r="AF8" s="899"/>
      <c r="AG8" s="899"/>
      <c r="AH8" s="900">
        <f t="shared" ref="AH8:AH26" si="10">SUM(AF8:AG8)</f>
        <v>0</v>
      </c>
    </row>
    <row r="9" spans="1:35" x14ac:dyDescent="0.25">
      <c r="A9" s="893" t="s">
        <v>145</v>
      </c>
      <c r="B9" s="894" t="s">
        <v>1084</v>
      </c>
      <c r="C9" s="894" t="s">
        <v>1083</v>
      </c>
      <c r="D9" s="896">
        <v>1950</v>
      </c>
      <c r="E9" s="897">
        <f t="shared" si="0"/>
        <v>1950</v>
      </c>
      <c r="F9" s="898">
        <v>187813</v>
      </c>
      <c r="G9" s="899">
        <f t="shared" si="1"/>
        <v>185863</v>
      </c>
      <c r="H9" s="899"/>
      <c r="I9" s="899"/>
      <c r="J9" s="900">
        <f t="shared" ref="J9" si="11">SUM(H9:I9)</f>
        <v>0</v>
      </c>
      <c r="K9" s="899">
        <v>129649</v>
      </c>
      <c r="L9" s="899"/>
      <c r="M9" s="900">
        <f t="shared" si="3"/>
        <v>129649</v>
      </c>
      <c r="N9" s="899">
        <v>0</v>
      </c>
      <c r="O9" s="899"/>
      <c r="P9" s="900">
        <f t="shared" si="4"/>
        <v>0</v>
      </c>
      <c r="Q9" s="899">
        <v>55429</v>
      </c>
      <c r="R9" s="899"/>
      <c r="S9" s="900">
        <f t="shared" si="5"/>
        <v>55429</v>
      </c>
      <c r="T9" s="899">
        <v>0</v>
      </c>
      <c r="U9" s="899"/>
      <c r="V9" s="900">
        <f t="shared" si="6"/>
        <v>0</v>
      </c>
      <c r="W9" s="899">
        <v>785</v>
      </c>
      <c r="X9" s="899"/>
      <c r="Y9" s="900">
        <f t="shared" si="7"/>
        <v>785</v>
      </c>
      <c r="Z9" s="899"/>
      <c r="AA9" s="899"/>
      <c r="AB9" s="900">
        <f t="shared" si="8"/>
        <v>0</v>
      </c>
      <c r="AC9" s="899"/>
      <c r="AD9" s="899"/>
      <c r="AE9" s="900">
        <f t="shared" si="9"/>
        <v>0</v>
      </c>
      <c r="AF9" s="899"/>
      <c r="AG9" s="899"/>
      <c r="AH9" s="900">
        <f t="shared" si="10"/>
        <v>0</v>
      </c>
    </row>
    <row r="10" spans="1:35" x14ac:dyDescent="0.25">
      <c r="A10" s="893" t="s">
        <v>146</v>
      </c>
      <c r="B10" s="894" t="s">
        <v>1085</v>
      </c>
      <c r="C10" s="894" t="s">
        <v>1083</v>
      </c>
      <c r="D10" s="896">
        <v>2738</v>
      </c>
      <c r="E10" s="897">
        <f>+F10-G10</f>
        <v>2738</v>
      </c>
      <c r="F10" s="898">
        <v>394000</v>
      </c>
      <c r="G10" s="899">
        <f t="shared" si="1"/>
        <v>391262</v>
      </c>
      <c r="H10" s="899"/>
      <c r="I10" s="899"/>
      <c r="J10" s="900">
        <f t="shared" si="2"/>
        <v>0</v>
      </c>
      <c r="K10" s="899">
        <v>220246</v>
      </c>
      <c r="L10" s="899"/>
      <c r="M10" s="900">
        <f t="shared" si="3"/>
        <v>220246</v>
      </c>
      <c r="N10" s="899">
        <v>0</v>
      </c>
      <c r="O10" s="899"/>
      <c r="P10" s="900">
        <f t="shared" si="4"/>
        <v>0</v>
      </c>
      <c r="Q10" s="899">
        <v>166661</v>
      </c>
      <c r="R10" s="899"/>
      <c r="S10" s="900">
        <f t="shared" si="5"/>
        <v>166661</v>
      </c>
      <c r="T10" s="899">
        <v>0</v>
      </c>
      <c r="U10" s="899"/>
      <c r="V10" s="900">
        <f t="shared" si="6"/>
        <v>0</v>
      </c>
      <c r="W10" s="899">
        <v>4355</v>
      </c>
      <c r="X10" s="899"/>
      <c r="Y10" s="900">
        <f t="shared" si="7"/>
        <v>4355</v>
      </c>
      <c r="Z10" s="899"/>
      <c r="AA10" s="899"/>
      <c r="AB10" s="900">
        <f t="shared" si="8"/>
        <v>0</v>
      </c>
      <c r="AC10" s="899"/>
      <c r="AD10" s="899"/>
      <c r="AE10" s="900">
        <f t="shared" si="9"/>
        <v>0</v>
      </c>
      <c r="AF10" s="899"/>
      <c r="AG10" s="899"/>
      <c r="AH10" s="900">
        <f t="shared" si="10"/>
        <v>0</v>
      </c>
    </row>
    <row r="11" spans="1:35" ht="30" x14ac:dyDescent="0.25">
      <c r="A11" s="893" t="s">
        <v>147</v>
      </c>
      <c r="B11" s="894" t="s">
        <v>1086</v>
      </c>
      <c r="C11" s="894" t="s">
        <v>1083</v>
      </c>
      <c r="D11" s="896">
        <v>0</v>
      </c>
      <c r="E11" s="897">
        <f t="shared" ref="E11:E14" si="12">+F11-G11</f>
        <v>0</v>
      </c>
      <c r="F11" s="898">
        <v>291198</v>
      </c>
      <c r="G11" s="899">
        <f t="shared" si="1"/>
        <v>291198</v>
      </c>
      <c r="H11" s="899"/>
      <c r="I11" s="899"/>
      <c r="J11" s="900">
        <f t="shared" si="2"/>
        <v>0</v>
      </c>
      <c r="K11" s="899">
        <v>186423</v>
      </c>
      <c r="L11" s="899"/>
      <c r="M11" s="900">
        <f t="shared" si="3"/>
        <v>186423</v>
      </c>
      <c r="N11" s="899">
        <v>101667</v>
      </c>
      <c r="O11" s="899"/>
      <c r="P11" s="900">
        <f t="shared" si="4"/>
        <v>101667</v>
      </c>
      <c r="Q11" s="899">
        <v>3093</v>
      </c>
      <c r="R11" s="899"/>
      <c r="S11" s="900">
        <f t="shared" si="5"/>
        <v>3093</v>
      </c>
      <c r="T11" s="899">
        <v>0</v>
      </c>
      <c r="U11" s="899"/>
      <c r="V11" s="900">
        <f t="shared" si="6"/>
        <v>0</v>
      </c>
      <c r="W11" s="899">
        <v>15</v>
      </c>
      <c r="X11" s="899"/>
      <c r="Y11" s="900">
        <f t="shared" si="7"/>
        <v>15</v>
      </c>
      <c r="Z11" s="899"/>
      <c r="AA11" s="899"/>
      <c r="AB11" s="900">
        <f t="shared" si="8"/>
        <v>0</v>
      </c>
      <c r="AC11" s="899"/>
      <c r="AD11" s="899"/>
      <c r="AE11" s="900">
        <f t="shared" si="9"/>
        <v>0</v>
      </c>
      <c r="AF11" s="899"/>
      <c r="AG11" s="899"/>
      <c r="AH11" s="900">
        <f t="shared" si="10"/>
        <v>0</v>
      </c>
    </row>
    <row r="12" spans="1:35" ht="30" x14ac:dyDescent="0.25">
      <c r="A12" s="893" t="s">
        <v>148</v>
      </c>
      <c r="B12" s="894" t="s">
        <v>1087</v>
      </c>
      <c r="C12" s="894" t="s">
        <v>1083</v>
      </c>
      <c r="D12" s="896">
        <v>120</v>
      </c>
      <c r="E12" s="897">
        <f t="shared" si="12"/>
        <v>120</v>
      </c>
      <c r="F12" s="898">
        <f>57872-1844</f>
        <v>56028</v>
      </c>
      <c r="G12" s="899">
        <f t="shared" si="1"/>
        <v>55908</v>
      </c>
      <c r="H12" s="899"/>
      <c r="I12" s="899"/>
      <c r="J12" s="900">
        <f t="shared" si="2"/>
        <v>0</v>
      </c>
      <c r="K12" s="899">
        <v>27000</v>
      </c>
      <c r="L12" s="899"/>
      <c r="M12" s="900">
        <f t="shared" si="3"/>
        <v>27000</v>
      </c>
      <c r="N12" s="899">
        <v>0</v>
      </c>
      <c r="O12" s="899"/>
      <c r="P12" s="900">
        <f t="shared" si="4"/>
        <v>0</v>
      </c>
      <c r="Q12" s="899">
        <v>14847</v>
      </c>
      <c r="R12" s="899"/>
      <c r="S12" s="900">
        <f t="shared" si="5"/>
        <v>14847</v>
      </c>
      <c r="T12" s="899">
        <v>0</v>
      </c>
      <c r="U12" s="899"/>
      <c r="V12" s="900">
        <f t="shared" si="6"/>
        <v>0</v>
      </c>
      <c r="W12" s="899">
        <f>16025-120-1844</f>
        <v>14061</v>
      </c>
      <c r="X12" s="899"/>
      <c r="Y12" s="900">
        <f t="shared" si="7"/>
        <v>14061</v>
      </c>
      <c r="Z12" s="899"/>
      <c r="AA12" s="899"/>
      <c r="AB12" s="900">
        <f t="shared" si="8"/>
        <v>0</v>
      </c>
      <c r="AC12" s="899"/>
      <c r="AD12" s="899"/>
      <c r="AE12" s="900">
        <f t="shared" si="9"/>
        <v>0</v>
      </c>
      <c r="AF12" s="899"/>
      <c r="AG12" s="899"/>
      <c r="AH12" s="900">
        <f t="shared" si="10"/>
        <v>0</v>
      </c>
    </row>
    <row r="13" spans="1:35" ht="30" x14ac:dyDescent="0.25">
      <c r="A13" s="893" t="s">
        <v>149</v>
      </c>
      <c r="B13" s="895" t="s">
        <v>551</v>
      </c>
      <c r="C13" s="895" t="s">
        <v>1088</v>
      </c>
      <c r="D13" s="901">
        <v>0</v>
      </c>
      <c r="E13" s="897">
        <f t="shared" si="12"/>
        <v>0</v>
      </c>
      <c r="F13" s="902">
        <v>233659</v>
      </c>
      <c r="G13" s="899">
        <f>+J13+M13+P13+S13+V13+Y13+AB13+AE13</f>
        <v>233659</v>
      </c>
      <c r="H13" s="903"/>
      <c r="I13" s="903"/>
      <c r="J13" s="900">
        <f t="shared" si="2"/>
        <v>0</v>
      </c>
      <c r="K13" s="903"/>
      <c r="L13" s="903"/>
      <c r="M13" s="900">
        <f t="shared" si="3"/>
        <v>0</v>
      </c>
      <c r="N13" s="903"/>
      <c r="O13" s="903">
        <v>24211</v>
      </c>
      <c r="P13" s="900">
        <f t="shared" si="4"/>
        <v>24211</v>
      </c>
      <c r="Q13" s="903"/>
      <c r="R13" s="903">
        <v>209448</v>
      </c>
      <c r="S13" s="900">
        <f t="shared" si="5"/>
        <v>209448</v>
      </c>
      <c r="T13" s="903"/>
      <c r="U13" s="903">
        <v>0</v>
      </c>
      <c r="V13" s="900">
        <f t="shared" si="6"/>
        <v>0</v>
      </c>
      <c r="W13" s="903"/>
      <c r="X13" s="903">
        <v>0</v>
      </c>
      <c r="Y13" s="900">
        <f t="shared" si="7"/>
        <v>0</v>
      </c>
      <c r="Z13" s="903"/>
      <c r="AA13" s="903"/>
      <c r="AB13" s="900">
        <f t="shared" si="8"/>
        <v>0</v>
      </c>
      <c r="AC13" s="903"/>
      <c r="AD13" s="903"/>
      <c r="AE13" s="900">
        <f t="shared" si="9"/>
        <v>0</v>
      </c>
      <c r="AF13" s="903"/>
      <c r="AG13" s="903"/>
      <c r="AH13" s="900">
        <f t="shared" si="10"/>
        <v>0</v>
      </c>
    </row>
    <row r="14" spans="1:35" x14ac:dyDescent="0.25">
      <c r="A14" s="893" t="s">
        <v>150</v>
      </c>
      <c r="B14" s="895" t="s">
        <v>1089</v>
      </c>
      <c r="C14" s="894" t="s">
        <v>1083</v>
      </c>
      <c r="D14" s="896"/>
      <c r="E14" s="897">
        <f t="shared" si="12"/>
        <v>2913</v>
      </c>
      <c r="F14" s="902">
        <v>162897</v>
      </c>
      <c r="G14" s="899">
        <f t="shared" ref="G14:G15" si="13">+J14+M14+P14+S14+V14+Y14+AB14+AE14</f>
        <v>159984</v>
      </c>
      <c r="H14" s="903"/>
      <c r="I14" s="903"/>
      <c r="J14" s="900">
        <f t="shared" si="2"/>
        <v>0</v>
      </c>
      <c r="K14" s="903"/>
      <c r="L14" s="903"/>
      <c r="M14" s="900">
        <f t="shared" si="3"/>
        <v>0</v>
      </c>
      <c r="N14" s="903"/>
      <c r="O14" s="903"/>
      <c r="P14" s="900">
        <f t="shared" si="4"/>
        <v>0</v>
      </c>
      <c r="Q14" s="903">
        <v>98909</v>
      </c>
      <c r="R14" s="903"/>
      <c r="S14" s="900">
        <f t="shared" si="5"/>
        <v>98909</v>
      </c>
      <c r="T14" s="903">
        <v>61075</v>
      </c>
      <c r="U14" s="903"/>
      <c r="V14" s="900">
        <f t="shared" si="6"/>
        <v>61075</v>
      </c>
      <c r="W14" s="903"/>
      <c r="X14" s="903"/>
      <c r="Y14" s="900">
        <f t="shared" si="7"/>
        <v>0</v>
      </c>
      <c r="Z14" s="903"/>
      <c r="AA14" s="903"/>
      <c r="AB14" s="900">
        <f t="shared" si="8"/>
        <v>0</v>
      </c>
      <c r="AC14" s="903"/>
      <c r="AD14" s="903"/>
      <c r="AE14" s="900">
        <f t="shared" si="9"/>
        <v>0</v>
      </c>
      <c r="AF14" s="903"/>
      <c r="AG14" s="903"/>
      <c r="AH14" s="900">
        <f t="shared" si="10"/>
        <v>0</v>
      </c>
    </row>
    <row r="15" spans="1:35" x14ac:dyDescent="0.25">
      <c r="A15" s="893" t="s">
        <v>151</v>
      </c>
      <c r="B15" s="895" t="s">
        <v>1090</v>
      </c>
      <c r="C15" s="894" t="s">
        <v>1083</v>
      </c>
      <c r="D15" s="901">
        <v>89</v>
      </c>
      <c r="E15" s="904">
        <f>+F15-G15</f>
        <v>89</v>
      </c>
      <c r="F15" s="902">
        <f>518089-8279</f>
        <v>509810</v>
      </c>
      <c r="G15" s="899">
        <f t="shared" si="13"/>
        <v>509721</v>
      </c>
      <c r="H15" s="905"/>
      <c r="I15" s="905"/>
      <c r="J15" s="900">
        <f t="shared" si="2"/>
        <v>0</v>
      </c>
      <c r="K15" s="905">
        <v>25900</v>
      </c>
      <c r="L15" s="905"/>
      <c r="M15" s="900">
        <f t="shared" si="3"/>
        <v>25900</v>
      </c>
      <c r="N15" s="905">
        <v>161758</v>
      </c>
      <c r="O15" s="905"/>
      <c r="P15" s="900">
        <f t="shared" si="4"/>
        <v>161758</v>
      </c>
      <c r="Q15" s="905">
        <v>304442</v>
      </c>
      <c r="R15" s="905">
        <v>0</v>
      </c>
      <c r="S15" s="900">
        <f t="shared" si="5"/>
        <v>304442</v>
      </c>
      <c r="T15" s="905">
        <v>0</v>
      </c>
      <c r="U15" s="905"/>
      <c r="V15" s="900">
        <f t="shared" si="6"/>
        <v>0</v>
      </c>
      <c r="W15" s="905">
        <v>4051</v>
      </c>
      <c r="X15" s="905"/>
      <c r="Y15" s="900">
        <f t="shared" si="7"/>
        <v>4051</v>
      </c>
      <c r="Z15" s="905">
        <v>13570</v>
      </c>
      <c r="AA15" s="905"/>
      <c r="AB15" s="900">
        <f t="shared" si="8"/>
        <v>13570</v>
      </c>
      <c r="AC15" s="905"/>
      <c r="AD15" s="905"/>
      <c r="AE15" s="900">
        <f t="shared" si="9"/>
        <v>0</v>
      </c>
      <c r="AF15" s="905"/>
      <c r="AG15" s="905"/>
      <c r="AH15" s="900">
        <f t="shared" si="10"/>
        <v>0</v>
      </c>
    </row>
    <row r="16" spans="1:35" x14ac:dyDescent="0.25">
      <c r="A16" s="893" t="s">
        <v>152</v>
      </c>
      <c r="B16" s="894" t="s">
        <v>734</v>
      </c>
      <c r="C16" s="894" t="s">
        <v>1088</v>
      </c>
      <c r="D16" s="896">
        <v>318</v>
      </c>
      <c r="E16" s="904">
        <f t="shared" ref="E16:E19" si="14">+F16-G16</f>
        <v>318</v>
      </c>
      <c r="F16" s="898">
        <f>4479211+318</f>
        <v>4479529</v>
      </c>
      <c r="G16" s="899">
        <f>+J16+M16+P16+S16+V16+Y16+AB16+AE16+AH16</f>
        <v>4479211</v>
      </c>
      <c r="H16" s="899"/>
      <c r="I16" s="899"/>
      <c r="J16" s="900">
        <f t="shared" si="2"/>
        <v>0</v>
      </c>
      <c r="K16" s="899"/>
      <c r="L16" s="899"/>
      <c r="M16" s="900">
        <f t="shared" si="3"/>
        <v>0</v>
      </c>
      <c r="N16" s="899">
        <v>0</v>
      </c>
      <c r="O16" s="899"/>
      <c r="P16" s="900">
        <f t="shared" si="4"/>
        <v>0</v>
      </c>
      <c r="Q16" s="899">
        <v>0</v>
      </c>
      <c r="R16" s="899"/>
      <c r="S16" s="900">
        <f t="shared" si="5"/>
        <v>0</v>
      </c>
      <c r="T16" s="899">
        <v>0</v>
      </c>
      <c r="U16" s="899"/>
      <c r="V16" s="900">
        <f t="shared" si="6"/>
        <v>0</v>
      </c>
      <c r="W16" s="899">
        <v>293896</v>
      </c>
      <c r="X16" s="899"/>
      <c r="Y16" s="900">
        <f t="shared" si="7"/>
        <v>293896</v>
      </c>
      <c r="Z16" s="899">
        <v>2461656</v>
      </c>
      <c r="AA16" s="899"/>
      <c r="AB16" s="900">
        <f t="shared" si="8"/>
        <v>2461656</v>
      </c>
      <c r="AC16" s="899">
        <v>600750</v>
      </c>
      <c r="AD16" s="899"/>
      <c r="AE16" s="900">
        <f t="shared" si="9"/>
        <v>600750</v>
      </c>
      <c r="AF16" s="899">
        <v>1122909</v>
      </c>
      <c r="AG16" s="899"/>
      <c r="AH16" s="900">
        <f t="shared" si="10"/>
        <v>1122909</v>
      </c>
    </row>
    <row r="17" spans="1:34" x14ac:dyDescent="0.25">
      <c r="A17" s="893" t="s">
        <v>0</v>
      </c>
      <c r="B17" s="894" t="s">
        <v>806</v>
      </c>
      <c r="C17" s="894" t="s">
        <v>1088</v>
      </c>
      <c r="D17" s="896">
        <v>0</v>
      </c>
      <c r="E17" s="904">
        <f t="shared" si="14"/>
        <v>0</v>
      </c>
      <c r="F17" s="898">
        <v>5370</v>
      </c>
      <c r="G17" s="899">
        <f>+J17+M17+P17+S17+V17+Y17+AB17+AE17</f>
        <v>5370</v>
      </c>
      <c r="H17" s="899"/>
      <c r="I17" s="899"/>
      <c r="J17" s="900">
        <f t="shared" si="2"/>
        <v>0</v>
      </c>
      <c r="K17" s="899"/>
      <c r="L17" s="899"/>
      <c r="M17" s="900">
        <f t="shared" si="3"/>
        <v>0</v>
      </c>
      <c r="N17" s="899"/>
      <c r="O17" s="899"/>
      <c r="P17" s="900">
        <f t="shared" si="4"/>
        <v>0</v>
      </c>
      <c r="Q17" s="899">
        <v>225</v>
      </c>
      <c r="R17" s="899"/>
      <c r="S17" s="900">
        <f t="shared" si="5"/>
        <v>225</v>
      </c>
      <c r="T17" s="899">
        <v>0</v>
      </c>
      <c r="U17" s="899"/>
      <c r="V17" s="900">
        <f t="shared" si="6"/>
        <v>0</v>
      </c>
      <c r="W17" s="899">
        <f>1037+4108</f>
        <v>5145</v>
      </c>
      <c r="X17" s="899"/>
      <c r="Y17" s="900">
        <f t="shared" si="7"/>
        <v>5145</v>
      </c>
      <c r="Z17" s="899"/>
      <c r="AA17" s="899"/>
      <c r="AB17" s="900">
        <f t="shared" si="8"/>
        <v>0</v>
      </c>
      <c r="AC17" s="899"/>
      <c r="AD17" s="899"/>
      <c r="AE17" s="900">
        <f t="shared" si="9"/>
        <v>0</v>
      </c>
      <c r="AF17" s="899"/>
      <c r="AG17" s="899"/>
      <c r="AH17" s="900">
        <f t="shared" si="10"/>
        <v>0</v>
      </c>
    </row>
    <row r="18" spans="1:34" ht="30" x14ac:dyDescent="0.25">
      <c r="A18" s="893" t="s">
        <v>1</v>
      </c>
      <c r="B18" s="894" t="s">
        <v>727</v>
      </c>
      <c r="C18" s="894" t="s">
        <v>1088</v>
      </c>
      <c r="D18" s="896">
        <v>0</v>
      </c>
      <c r="E18" s="904">
        <f t="shared" si="14"/>
        <v>0</v>
      </c>
      <c r="F18" s="898">
        <v>509000</v>
      </c>
      <c r="G18" s="899">
        <f>+J18+M18+P18+S18+V18+Y18+AB18+AE18</f>
        <v>509000</v>
      </c>
      <c r="H18" s="899"/>
      <c r="I18" s="899"/>
      <c r="J18" s="900">
        <f t="shared" si="2"/>
        <v>0</v>
      </c>
      <c r="K18" s="899"/>
      <c r="L18" s="899"/>
      <c r="M18" s="900">
        <f t="shared" si="3"/>
        <v>0</v>
      </c>
      <c r="N18" s="899"/>
      <c r="O18" s="899">
        <v>509000</v>
      </c>
      <c r="P18" s="900">
        <f t="shared" si="4"/>
        <v>509000</v>
      </c>
      <c r="Q18" s="899"/>
      <c r="R18" s="899">
        <v>0</v>
      </c>
      <c r="S18" s="900">
        <f t="shared" si="5"/>
        <v>0</v>
      </c>
      <c r="T18" s="899"/>
      <c r="U18" s="899"/>
      <c r="V18" s="900">
        <f t="shared" si="6"/>
        <v>0</v>
      </c>
      <c r="W18" s="899"/>
      <c r="X18" s="899"/>
      <c r="Y18" s="900">
        <f t="shared" si="7"/>
        <v>0</v>
      </c>
      <c r="Z18" s="899"/>
      <c r="AA18" s="899"/>
      <c r="AB18" s="900">
        <f t="shared" si="8"/>
        <v>0</v>
      </c>
      <c r="AC18" s="899"/>
      <c r="AD18" s="899"/>
      <c r="AE18" s="900">
        <f t="shared" si="9"/>
        <v>0</v>
      </c>
      <c r="AF18" s="899"/>
      <c r="AG18" s="899"/>
      <c r="AH18" s="900">
        <f t="shared" si="10"/>
        <v>0</v>
      </c>
    </row>
    <row r="19" spans="1:34" ht="49.5" customHeight="1" x14ac:dyDescent="0.25">
      <c r="A19" s="893" t="s">
        <v>2</v>
      </c>
      <c r="B19" s="894" t="s">
        <v>1091</v>
      </c>
      <c r="C19" s="894" t="s">
        <v>1088</v>
      </c>
      <c r="D19" s="896">
        <v>0</v>
      </c>
      <c r="E19" s="904">
        <f t="shared" si="14"/>
        <v>0</v>
      </c>
      <c r="F19" s="898">
        <v>14746417</v>
      </c>
      <c r="G19" s="899">
        <f t="shared" ref="G19:G22" si="15">+J19+M19+P19+S19+V19+Y19+AB19+AE19</f>
        <v>14746417</v>
      </c>
      <c r="H19" s="899"/>
      <c r="I19" s="899">
        <v>417000</v>
      </c>
      <c r="J19" s="900">
        <f t="shared" si="2"/>
        <v>417000</v>
      </c>
      <c r="K19" s="899"/>
      <c r="L19" s="899">
        <v>753631</v>
      </c>
      <c r="M19" s="900">
        <f t="shared" si="3"/>
        <v>753631</v>
      </c>
      <c r="N19" s="899"/>
      <c r="O19" s="899">
        <v>6725417</v>
      </c>
      <c r="P19" s="900">
        <f t="shared" si="4"/>
        <v>6725417</v>
      </c>
      <c r="Q19" s="899"/>
      <c r="R19" s="899">
        <v>5145000</v>
      </c>
      <c r="S19" s="900">
        <f t="shared" si="5"/>
        <v>5145000</v>
      </c>
      <c r="T19" s="899"/>
      <c r="U19" s="899">
        <v>1705369</v>
      </c>
      <c r="V19" s="900">
        <f t="shared" si="6"/>
        <v>1705369</v>
      </c>
      <c r="W19" s="899"/>
      <c r="X19" s="899">
        <v>0</v>
      </c>
      <c r="Y19" s="900">
        <f t="shared" si="7"/>
        <v>0</v>
      </c>
      <c r="Z19" s="899"/>
      <c r="AA19" s="899"/>
      <c r="AB19" s="900">
        <f t="shared" si="8"/>
        <v>0</v>
      </c>
      <c r="AC19" s="899"/>
      <c r="AD19" s="899"/>
      <c r="AE19" s="900">
        <f t="shared" si="9"/>
        <v>0</v>
      </c>
      <c r="AF19" s="899"/>
      <c r="AG19" s="899"/>
      <c r="AH19" s="900">
        <f t="shared" si="10"/>
        <v>0</v>
      </c>
    </row>
    <row r="20" spans="1:34" ht="60" x14ac:dyDescent="0.25">
      <c r="A20" s="893" t="s">
        <v>3</v>
      </c>
      <c r="B20" s="895" t="s">
        <v>804</v>
      </c>
      <c r="C20" s="895" t="s">
        <v>1088</v>
      </c>
      <c r="D20" s="901">
        <v>0</v>
      </c>
      <c r="E20" s="904">
        <f>+F20-G20</f>
        <v>0</v>
      </c>
      <c r="F20" s="902">
        <v>4565283</v>
      </c>
      <c r="G20" s="899">
        <f t="shared" si="15"/>
        <v>4565283</v>
      </c>
      <c r="H20" s="903"/>
      <c r="I20" s="903"/>
      <c r="J20" s="900">
        <f t="shared" si="2"/>
        <v>0</v>
      </c>
      <c r="K20" s="903"/>
      <c r="L20" s="903"/>
      <c r="M20" s="900">
        <f t="shared" si="3"/>
        <v>0</v>
      </c>
      <c r="N20" s="903"/>
      <c r="O20" s="903">
        <v>2481047</v>
      </c>
      <c r="P20" s="900">
        <f t="shared" si="4"/>
        <v>2481047</v>
      </c>
      <c r="Q20" s="903"/>
      <c r="R20" s="903">
        <v>0</v>
      </c>
      <c r="S20" s="900">
        <f t="shared" si="5"/>
        <v>0</v>
      </c>
      <c r="T20" s="903"/>
      <c r="U20" s="903">
        <v>1201282</v>
      </c>
      <c r="V20" s="900">
        <f t="shared" si="6"/>
        <v>1201282</v>
      </c>
      <c r="W20" s="903"/>
      <c r="X20" s="903">
        <v>882954</v>
      </c>
      <c r="Y20" s="900">
        <f t="shared" si="7"/>
        <v>882954</v>
      </c>
      <c r="Z20" s="903"/>
      <c r="AA20" s="903"/>
      <c r="AB20" s="900">
        <f t="shared" si="8"/>
        <v>0</v>
      </c>
      <c r="AC20" s="903"/>
      <c r="AD20" s="903"/>
      <c r="AE20" s="900">
        <f t="shared" si="9"/>
        <v>0</v>
      </c>
      <c r="AF20" s="903"/>
      <c r="AG20" s="903"/>
      <c r="AH20" s="900">
        <f t="shared" si="10"/>
        <v>0</v>
      </c>
    </row>
    <row r="21" spans="1:34" x14ac:dyDescent="0.25">
      <c r="A21" s="893" t="s">
        <v>4</v>
      </c>
      <c r="B21" s="895" t="s">
        <v>808</v>
      </c>
      <c r="C21" s="895" t="s">
        <v>1088</v>
      </c>
      <c r="D21" s="901">
        <v>0</v>
      </c>
      <c r="E21" s="904">
        <f t="shared" ref="E21:E23" si="16">+F21-G21</f>
        <v>0</v>
      </c>
      <c r="F21" s="902">
        <v>15875000</v>
      </c>
      <c r="G21" s="899">
        <f t="shared" si="15"/>
        <v>15875000</v>
      </c>
      <c r="H21" s="903"/>
      <c r="I21" s="903"/>
      <c r="J21" s="900">
        <f t="shared" si="2"/>
        <v>0</v>
      </c>
      <c r="K21" s="903"/>
      <c r="L21" s="903">
        <v>7500000</v>
      </c>
      <c r="M21" s="900">
        <f t="shared" si="3"/>
        <v>7500000</v>
      </c>
      <c r="N21" s="903"/>
      <c r="O21" s="903">
        <v>0</v>
      </c>
      <c r="P21" s="900">
        <f t="shared" si="4"/>
        <v>0</v>
      </c>
      <c r="Q21" s="903"/>
      <c r="R21" s="903">
        <v>0</v>
      </c>
      <c r="S21" s="900">
        <f t="shared" si="5"/>
        <v>0</v>
      </c>
      <c r="T21" s="903"/>
      <c r="U21" s="903">
        <v>2360000</v>
      </c>
      <c r="V21" s="900">
        <f t="shared" si="6"/>
        <v>2360000</v>
      </c>
      <c r="W21" s="903"/>
      <c r="X21" s="903">
        <v>0</v>
      </c>
      <c r="Y21" s="900">
        <f t="shared" si="7"/>
        <v>0</v>
      </c>
      <c r="Z21" s="903"/>
      <c r="AA21" s="903">
        <v>6015000</v>
      </c>
      <c r="AB21" s="900">
        <f t="shared" si="8"/>
        <v>6015000</v>
      </c>
      <c r="AC21" s="903"/>
      <c r="AD21" s="903"/>
      <c r="AE21" s="900">
        <f t="shared" si="9"/>
        <v>0</v>
      </c>
      <c r="AF21" s="903"/>
      <c r="AG21" s="903"/>
      <c r="AH21" s="900">
        <f t="shared" si="10"/>
        <v>0</v>
      </c>
    </row>
    <row r="22" spans="1:34" ht="30" x14ac:dyDescent="0.25">
      <c r="A22" s="893" t="s">
        <v>5</v>
      </c>
      <c r="B22" s="894" t="s">
        <v>477</v>
      </c>
      <c r="C22" s="895" t="s">
        <v>1092</v>
      </c>
      <c r="D22" s="896">
        <v>0</v>
      </c>
      <c r="E22" s="904">
        <f t="shared" si="16"/>
        <v>0</v>
      </c>
      <c r="F22" s="898">
        <v>0</v>
      </c>
      <c r="G22" s="899">
        <f t="shared" si="15"/>
        <v>0</v>
      </c>
      <c r="H22" s="899"/>
      <c r="I22" s="899"/>
      <c r="J22" s="900">
        <f t="shared" si="2"/>
        <v>0</v>
      </c>
      <c r="K22" s="899"/>
      <c r="L22" s="899"/>
      <c r="M22" s="900">
        <f t="shared" si="3"/>
        <v>0</v>
      </c>
      <c r="N22" s="899">
        <v>50314</v>
      </c>
      <c r="O22" s="903"/>
      <c r="P22" s="900">
        <f t="shared" si="4"/>
        <v>50314</v>
      </c>
      <c r="Q22" s="899">
        <v>0</v>
      </c>
      <c r="R22" s="899"/>
      <c r="S22" s="900">
        <f t="shared" si="5"/>
        <v>0</v>
      </c>
      <c r="T22" s="899">
        <v>1191533</v>
      </c>
      <c r="U22" s="899"/>
      <c r="V22" s="900">
        <f t="shared" si="6"/>
        <v>1191533</v>
      </c>
      <c r="W22" s="899">
        <v>-1241847</v>
      </c>
      <c r="X22" s="899"/>
      <c r="Y22" s="900">
        <f t="shared" si="7"/>
        <v>-1241847</v>
      </c>
      <c r="Z22" s="899"/>
      <c r="AA22" s="899"/>
      <c r="AB22" s="900">
        <f t="shared" si="8"/>
        <v>0</v>
      </c>
      <c r="AC22" s="899"/>
      <c r="AD22" s="899"/>
      <c r="AE22" s="900">
        <f t="shared" si="9"/>
        <v>0</v>
      </c>
      <c r="AF22" s="899"/>
      <c r="AG22" s="899"/>
      <c r="AH22" s="900">
        <f t="shared" si="10"/>
        <v>0</v>
      </c>
    </row>
    <row r="23" spans="1:34" x14ac:dyDescent="0.25">
      <c r="A23" s="893" t="s">
        <v>6</v>
      </c>
      <c r="B23" s="895" t="s">
        <v>478</v>
      </c>
      <c r="C23" s="895" t="s">
        <v>1088</v>
      </c>
      <c r="D23" s="901">
        <v>0</v>
      </c>
      <c r="E23" s="904">
        <f t="shared" si="16"/>
        <v>0</v>
      </c>
      <c r="F23" s="902">
        <f>1248410+30120-30120</f>
        <v>1248410</v>
      </c>
      <c r="G23" s="899">
        <f>+J23+M23+P23+S23+V23+Y23+AB23+AE23</f>
        <v>1248410</v>
      </c>
      <c r="H23" s="903"/>
      <c r="I23" s="903"/>
      <c r="J23" s="900">
        <f t="shared" si="2"/>
        <v>0</v>
      </c>
      <c r="K23" s="903"/>
      <c r="L23" s="903"/>
      <c r="M23" s="900">
        <f t="shared" si="3"/>
        <v>0</v>
      </c>
      <c r="N23" s="903"/>
      <c r="O23" s="903"/>
      <c r="P23" s="900">
        <f t="shared" si="4"/>
        <v>0</v>
      </c>
      <c r="Q23" s="903"/>
      <c r="R23" s="903"/>
      <c r="S23" s="900">
        <f t="shared" si="5"/>
        <v>0</v>
      </c>
      <c r="T23" s="903">
        <v>0</v>
      </c>
      <c r="U23" s="903"/>
      <c r="V23" s="900">
        <f t="shared" si="6"/>
        <v>0</v>
      </c>
      <c r="W23" s="903">
        <f>935165+313245-62420</f>
        <v>1185990</v>
      </c>
      <c r="X23" s="903"/>
      <c r="Y23" s="900">
        <f t="shared" si="7"/>
        <v>1185990</v>
      </c>
      <c r="Z23" s="903">
        <v>62420</v>
      </c>
      <c r="AA23" s="903"/>
      <c r="AB23" s="900">
        <f t="shared" si="8"/>
        <v>62420</v>
      </c>
      <c r="AC23" s="903"/>
      <c r="AD23" s="903"/>
      <c r="AE23" s="900">
        <f t="shared" si="9"/>
        <v>0</v>
      </c>
      <c r="AF23" s="903"/>
      <c r="AG23" s="903"/>
      <c r="AH23" s="900">
        <f t="shared" si="10"/>
        <v>0</v>
      </c>
    </row>
    <row r="24" spans="1:34" x14ac:dyDescent="0.25">
      <c r="A24" s="893" t="s">
        <v>7</v>
      </c>
      <c r="B24" s="895" t="s">
        <v>737</v>
      </c>
      <c r="C24" s="895" t="s">
        <v>1083</v>
      </c>
      <c r="D24" s="901">
        <f>1242-1052</f>
        <v>190</v>
      </c>
      <c r="E24" s="904">
        <f>+F24-G24</f>
        <v>190</v>
      </c>
      <c r="F24" s="902">
        <f>115653-2883</f>
        <v>112770</v>
      </c>
      <c r="G24" s="899">
        <f>+J24+M24+P24+S24+V24+Y24+AB24+AE24</f>
        <v>112580</v>
      </c>
      <c r="H24" s="903"/>
      <c r="I24" s="903"/>
      <c r="J24" s="900">
        <f t="shared" si="2"/>
        <v>0</v>
      </c>
      <c r="K24" s="903"/>
      <c r="L24" s="903"/>
      <c r="M24" s="900">
        <f t="shared" si="3"/>
        <v>0</v>
      </c>
      <c r="N24" s="903"/>
      <c r="O24" s="903"/>
      <c r="P24" s="900">
        <f t="shared" si="4"/>
        <v>0</v>
      </c>
      <c r="Q24" s="903">
        <v>108696</v>
      </c>
      <c r="R24" s="903"/>
      <c r="S24" s="900">
        <f t="shared" si="5"/>
        <v>108696</v>
      </c>
      <c r="T24" s="903">
        <v>0</v>
      </c>
      <c r="U24" s="903"/>
      <c r="V24" s="900">
        <f t="shared" si="6"/>
        <v>0</v>
      </c>
      <c r="W24" s="903">
        <v>0</v>
      </c>
      <c r="X24" s="903"/>
      <c r="Y24" s="900">
        <f t="shared" si="7"/>
        <v>0</v>
      </c>
      <c r="Z24" s="903">
        <v>3884</v>
      </c>
      <c r="AA24" s="903"/>
      <c r="AB24" s="900">
        <f t="shared" si="8"/>
        <v>3884</v>
      </c>
      <c r="AC24" s="903"/>
      <c r="AD24" s="903"/>
      <c r="AE24" s="900">
        <f t="shared" si="9"/>
        <v>0</v>
      </c>
      <c r="AF24" s="903"/>
      <c r="AG24" s="903"/>
      <c r="AH24" s="900">
        <f t="shared" si="10"/>
        <v>0</v>
      </c>
    </row>
    <row r="25" spans="1:34" x14ac:dyDescent="0.25">
      <c r="A25" s="893" t="s">
        <v>8</v>
      </c>
      <c r="B25" s="895" t="s">
        <v>1093</v>
      </c>
      <c r="C25" s="895" t="s">
        <v>1083</v>
      </c>
      <c r="D25" s="901">
        <v>0</v>
      </c>
      <c r="E25" s="904">
        <f t="shared" ref="E25:E42" si="17">+F25-G25</f>
        <v>0</v>
      </c>
      <c r="F25" s="902">
        <f>149800-7686</f>
        <v>142114</v>
      </c>
      <c r="G25" s="903">
        <f t="shared" ref="G25" si="18">+J25+M25+P25+S25+V25+Y25+AB25+AE25</f>
        <v>142114</v>
      </c>
      <c r="H25" s="903"/>
      <c r="I25" s="903"/>
      <c r="J25" s="900">
        <f t="shared" si="2"/>
        <v>0</v>
      </c>
      <c r="K25" s="903"/>
      <c r="L25" s="903"/>
      <c r="M25" s="900">
        <f t="shared" si="3"/>
        <v>0</v>
      </c>
      <c r="N25" s="903">
        <v>48701</v>
      </c>
      <c r="O25" s="903"/>
      <c r="P25" s="900">
        <f t="shared" si="4"/>
        <v>48701</v>
      </c>
      <c r="Q25" s="903">
        <f>89875</f>
        <v>89875</v>
      </c>
      <c r="R25" s="903"/>
      <c r="S25" s="900">
        <f t="shared" si="5"/>
        <v>89875</v>
      </c>
      <c r="T25" s="903">
        <f>3520</f>
        <v>3520</v>
      </c>
      <c r="U25" s="903"/>
      <c r="V25" s="900">
        <f t="shared" si="6"/>
        <v>3520</v>
      </c>
      <c r="W25" s="903">
        <f>7704-7686</f>
        <v>18</v>
      </c>
      <c r="X25" s="903"/>
      <c r="Y25" s="900">
        <f t="shared" si="7"/>
        <v>18</v>
      </c>
      <c r="Z25" s="903"/>
      <c r="AA25" s="903"/>
      <c r="AB25" s="900">
        <f t="shared" si="8"/>
        <v>0</v>
      </c>
      <c r="AC25" s="903"/>
      <c r="AD25" s="903"/>
      <c r="AE25" s="900">
        <f t="shared" si="9"/>
        <v>0</v>
      </c>
      <c r="AF25" s="903"/>
      <c r="AG25" s="903"/>
      <c r="AH25" s="900">
        <f t="shared" si="10"/>
        <v>0</v>
      </c>
    </row>
    <row r="26" spans="1:34" x14ac:dyDescent="0.25">
      <c r="A26" s="893" t="s">
        <v>9</v>
      </c>
      <c r="B26" s="895" t="s">
        <v>552</v>
      </c>
      <c r="C26" s="895" t="s">
        <v>1088</v>
      </c>
      <c r="D26" s="901">
        <v>0</v>
      </c>
      <c r="E26" s="904">
        <f t="shared" si="17"/>
        <v>0</v>
      </c>
      <c r="F26" s="902">
        <v>800000</v>
      </c>
      <c r="G26" s="903">
        <f>+J26+M26+P26+S26+V26+Y26+AB26+AE26</f>
        <v>800000</v>
      </c>
      <c r="H26" s="903"/>
      <c r="I26" s="903"/>
      <c r="J26" s="900">
        <f t="shared" si="2"/>
        <v>0</v>
      </c>
      <c r="K26" s="903"/>
      <c r="L26" s="903"/>
      <c r="M26" s="900">
        <f t="shared" si="3"/>
        <v>0</v>
      </c>
      <c r="N26" s="903"/>
      <c r="O26" s="903">
        <v>33000</v>
      </c>
      <c r="P26" s="900">
        <f t="shared" si="4"/>
        <v>33000</v>
      </c>
      <c r="Q26" s="903"/>
      <c r="R26" s="903">
        <v>267000</v>
      </c>
      <c r="S26" s="900">
        <f t="shared" si="5"/>
        <v>267000</v>
      </c>
      <c r="T26" s="903"/>
      <c r="U26" s="903">
        <v>500000</v>
      </c>
      <c r="V26" s="900">
        <f t="shared" si="6"/>
        <v>500000</v>
      </c>
      <c r="W26" s="903"/>
      <c r="X26" s="903"/>
      <c r="Y26" s="900">
        <f t="shared" si="7"/>
        <v>0</v>
      </c>
      <c r="Z26" s="903"/>
      <c r="AA26" s="903"/>
      <c r="AB26" s="900">
        <f t="shared" si="8"/>
        <v>0</v>
      </c>
      <c r="AC26" s="903"/>
      <c r="AD26" s="903"/>
      <c r="AE26" s="900">
        <f t="shared" si="9"/>
        <v>0</v>
      </c>
      <c r="AF26" s="903"/>
      <c r="AG26" s="903"/>
      <c r="AH26" s="900">
        <f t="shared" si="10"/>
        <v>0</v>
      </c>
    </row>
    <row r="27" spans="1:34" ht="30" x14ac:dyDescent="0.25">
      <c r="A27" s="893" t="s">
        <v>10</v>
      </c>
      <c r="B27" s="895" t="s">
        <v>556</v>
      </c>
      <c r="C27" s="895" t="s">
        <v>1088</v>
      </c>
      <c r="D27" s="901">
        <v>173609</v>
      </c>
      <c r="E27" s="904">
        <f t="shared" si="17"/>
        <v>173609</v>
      </c>
      <c r="F27" s="902">
        <f>731510+57495+22349-57495</f>
        <v>753859</v>
      </c>
      <c r="G27" s="899">
        <f t="shared" ref="G27:G28" si="19">+J27+M27+P27+S27+V27+Y27+AB27+AE27</f>
        <v>580250</v>
      </c>
      <c r="H27" s="903"/>
      <c r="I27" s="903"/>
      <c r="J27" s="900">
        <f>SUM(H27:I27)</f>
        <v>0</v>
      </c>
      <c r="K27" s="903"/>
      <c r="L27" s="903"/>
      <c r="M27" s="900">
        <f>SUM(K27:L27)</f>
        <v>0</v>
      </c>
      <c r="N27" s="903"/>
      <c r="O27" s="903"/>
      <c r="P27" s="900">
        <f>SUM(N27:O27)</f>
        <v>0</v>
      </c>
      <c r="Q27" s="903"/>
      <c r="R27" s="903"/>
      <c r="S27" s="900">
        <f>SUM(Q27:R27)</f>
        <v>0</v>
      </c>
      <c r="T27" s="903">
        <v>0</v>
      </c>
      <c r="U27" s="903"/>
      <c r="V27" s="900">
        <f>SUM(T27:U27)</f>
        <v>0</v>
      </c>
      <c r="W27" s="903">
        <f>556890+18360</f>
        <v>575250</v>
      </c>
      <c r="X27" s="903"/>
      <c r="Y27" s="900">
        <f>SUM(W27:X27)</f>
        <v>575250</v>
      </c>
      <c r="Z27" s="903">
        <f>23360-18360</f>
        <v>5000</v>
      </c>
      <c r="AA27" s="903"/>
      <c r="AB27" s="900">
        <f>SUM(Z27:AA27)</f>
        <v>5000</v>
      </c>
      <c r="AC27" s="903"/>
      <c r="AD27" s="903"/>
      <c r="AE27" s="900">
        <f>SUM(AC27:AD27)</f>
        <v>0</v>
      </c>
      <c r="AF27" s="903"/>
      <c r="AG27" s="903"/>
      <c r="AH27" s="900">
        <f>SUM(AF27:AG27)</f>
        <v>0</v>
      </c>
    </row>
    <row r="28" spans="1:34" ht="45" x14ac:dyDescent="0.25">
      <c r="A28" s="893" t="s">
        <v>11</v>
      </c>
      <c r="B28" s="906" t="s">
        <v>1094</v>
      </c>
      <c r="C28" s="895" t="s">
        <v>1088</v>
      </c>
      <c r="D28" s="901">
        <v>2960</v>
      </c>
      <c r="E28" s="904">
        <f t="shared" si="17"/>
        <v>2960</v>
      </c>
      <c r="F28" s="902">
        <f>57495+21270+2960</f>
        <v>81725</v>
      </c>
      <c r="G28" s="899">
        <f t="shared" si="19"/>
        <v>78765</v>
      </c>
      <c r="H28" s="903"/>
      <c r="I28" s="903"/>
      <c r="J28" s="900">
        <f>SUM(H28:I28)</f>
        <v>0</v>
      </c>
      <c r="K28" s="903"/>
      <c r="L28" s="903"/>
      <c r="M28" s="900">
        <f>SUM(K28:L28)</f>
        <v>0</v>
      </c>
      <c r="N28" s="903"/>
      <c r="O28" s="903"/>
      <c r="P28" s="900">
        <f>SUM(N28:O28)</f>
        <v>0</v>
      </c>
      <c r="Q28" s="903"/>
      <c r="R28" s="903"/>
      <c r="S28" s="900">
        <f>SUM(Q28:R28)</f>
        <v>0</v>
      </c>
      <c r="T28" s="903">
        <v>0</v>
      </c>
      <c r="U28" s="903"/>
      <c r="V28" s="900">
        <f>SUM(T28:U28)</f>
        <v>0</v>
      </c>
      <c r="W28" s="903"/>
      <c r="X28" s="903"/>
      <c r="Y28" s="900">
        <f>SUM(W28:X28)</f>
        <v>0</v>
      </c>
      <c r="Z28" s="903">
        <v>57495</v>
      </c>
      <c r="AA28" s="903"/>
      <c r="AB28" s="900">
        <f>SUM(Z28:AA28)</f>
        <v>57495</v>
      </c>
      <c r="AC28" s="903">
        <v>21270</v>
      </c>
      <c r="AD28" s="903"/>
      <c r="AE28" s="900">
        <f>SUM(AC28:AD28)</f>
        <v>21270</v>
      </c>
      <c r="AF28" s="903"/>
      <c r="AG28" s="903"/>
      <c r="AH28" s="900">
        <f>SUM(AF28:AG28)</f>
        <v>0</v>
      </c>
    </row>
    <row r="29" spans="1:34" x14ac:dyDescent="0.25">
      <c r="A29" s="893" t="s">
        <v>12</v>
      </c>
      <c r="B29" s="895" t="s">
        <v>1095</v>
      </c>
      <c r="C29" s="894" t="s">
        <v>1083</v>
      </c>
      <c r="D29" s="896">
        <v>0</v>
      </c>
      <c r="E29" s="904">
        <f t="shared" si="17"/>
        <v>0.44100000000071304</v>
      </c>
      <c r="F29" s="902">
        <v>10501.441000000001</v>
      </c>
      <c r="G29" s="899">
        <f>+J29+M29+P29+S29+V29+Y29+AB29+AE29</f>
        <v>10501</v>
      </c>
      <c r="H29" s="903"/>
      <c r="I29" s="903"/>
      <c r="J29" s="900">
        <f t="shared" si="2"/>
        <v>0</v>
      </c>
      <c r="K29" s="903"/>
      <c r="L29" s="903"/>
      <c r="M29" s="900">
        <f t="shared" si="3"/>
        <v>0</v>
      </c>
      <c r="N29" s="903"/>
      <c r="O29" s="903"/>
      <c r="P29" s="900">
        <f t="shared" si="4"/>
        <v>0</v>
      </c>
      <c r="Q29" s="903"/>
      <c r="R29" s="903"/>
      <c r="S29" s="900">
        <f t="shared" si="5"/>
        <v>0</v>
      </c>
      <c r="T29" s="903">
        <v>9397</v>
      </c>
      <c r="U29" s="903"/>
      <c r="V29" s="900">
        <f t="shared" si="6"/>
        <v>9397</v>
      </c>
      <c r="W29" s="903">
        <f>10501-9397</f>
        <v>1104</v>
      </c>
      <c r="X29" s="903"/>
      <c r="Y29" s="900">
        <f t="shared" si="7"/>
        <v>1104</v>
      </c>
      <c r="Z29" s="903"/>
      <c r="AA29" s="903"/>
      <c r="AB29" s="900">
        <f t="shared" si="8"/>
        <v>0</v>
      </c>
      <c r="AC29" s="903"/>
      <c r="AD29" s="903"/>
      <c r="AE29" s="900">
        <f t="shared" ref="AE29:AE30" si="20">SUM(AC29:AD29)</f>
        <v>0</v>
      </c>
      <c r="AF29" s="903"/>
      <c r="AG29" s="903"/>
      <c r="AH29" s="900">
        <f t="shared" ref="AH29:AH30" si="21">SUM(AF29:AG29)</f>
        <v>0</v>
      </c>
    </row>
    <row r="30" spans="1:34" ht="45" x14ac:dyDescent="0.25">
      <c r="A30" s="893" t="s">
        <v>13</v>
      </c>
      <c r="B30" s="895" t="s">
        <v>1096</v>
      </c>
      <c r="C30" s="894" t="s">
        <v>1083</v>
      </c>
      <c r="D30" s="896">
        <v>0</v>
      </c>
      <c r="E30" s="904">
        <f t="shared" si="17"/>
        <v>0</v>
      </c>
      <c r="F30" s="902">
        <v>200000</v>
      </c>
      <c r="G30" s="899">
        <f t="shared" ref="G30:G31" si="22">+J30+M30+P30+S30+V30+Y30+AB30+AE30</f>
        <v>200000</v>
      </c>
      <c r="H30" s="903"/>
      <c r="I30" s="903"/>
      <c r="J30" s="900">
        <f t="shared" si="2"/>
        <v>0</v>
      </c>
      <c r="K30" s="903"/>
      <c r="L30" s="903"/>
      <c r="M30" s="900">
        <f t="shared" si="3"/>
        <v>0</v>
      </c>
      <c r="N30" s="903"/>
      <c r="O30" s="903">
        <v>200000</v>
      </c>
      <c r="P30" s="900">
        <f t="shared" si="4"/>
        <v>200000</v>
      </c>
      <c r="Q30" s="903"/>
      <c r="R30" s="903"/>
      <c r="S30" s="900">
        <f t="shared" si="5"/>
        <v>0</v>
      </c>
      <c r="T30" s="903"/>
      <c r="U30" s="903"/>
      <c r="V30" s="900">
        <f t="shared" si="6"/>
        <v>0</v>
      </c>
      <c r="W30" s="903"/>
      <c r="X30" s="903"/>
      <c r="Y30" s="900">
        <f t="shared" si="7"/>
        <v>0</v>
      </c>
      <c r="Z30" s="903"/>
      <c r="AA30" s="903"/>
      <c r="AB30" s="900">
        <f t="shared" si="8"/>
        <v>0</v>
      </c>
      <c r="AC30" s="903"/>
      <c r="AD30" s="903"/>
      <c r="AE30" s="900">
        <f t="shared" si="20"/>
        <v>0</v>
      </c>
      <c r="AF30" s="903"/>
      <c r="AG30" s="903"/>
      <c r="AH30" s="900">
        <f t="shared" si="21"/>
        <v>0</v>
      </c>
    </row>
    <row r="31" spans="1:34" ht="30" x14ac:dyDescent="0.25">
      <c r="A31" s="893" t="s">
        <v>14</v>
      </c>
      <c r="B31" s="895" t="s">
        <v>553</v>
      </c>
      <c r="C31" s="895" t="s">
        <v>1088</v>
      </c>
      <c r="D31" s="901">
        <v>0</v>
      </c>
      <c r="E31" s="904">
        <f t="shared" si="17"/>
        <v>0</v>
      </c>
      <c r="F31" s="902">
        <v>400000</v>
      </c>
      <c r="G31" s="899">
        <f t="shared" si="22"/>
        <v>400000</v>
      </c>
      <c r="H31" s="903"/>
      <c r="I31" s="903"/>
      <c r="J31" s="900">
        <f>SUM(H31:I31)</f>
        <v>0</v>
      </c>
      <c r="K31" s="903"/>
      <c r="L31" s="903"/>
      <c r="M31" s="900">
        <f>SUM(K31:L31)</f>
        <v>0</v>
      </c>
      <c r="N31" s="903"/>
      <c r="O31" s="903"/>
      <c r="P31" s="900">
        <f>SUM(N31:O31)</f>
        <v>0</v>
      </c>
      <c r="Q31" s="903"/>
      <c r="R31" s="903">
        <v>400000</v>
      </c>
      <c r="S31" s="900">
        <f>SUM(Q31:R31)</f>
        <v>400000</v>
      </c>
      <c r="T31" s="903"/>
      <c r="U31" s="903"/>
      <c r="V31" s="900">
        <f>SUM(T31:U31)</f>
        <v>0</v>
      </c>
      <c r="W31" s="903"/>
      <c r="X31" s="903"/>
      <c r="Y31" s="900">
        <f>SUM(W31:X31)</f>
        <v>0</v>
      </c>
      <c r="Z31" s="903"/>
      <c r="AA31" s="903"/>
      <c r="AB31" s="900">
        <f>SUM(Z31:AA31)</f>
        <v>0</v>
      </c>
      <c r="AC31" s="903"/>
      <c r="AD31" s="903"/>
      <c r="AE31" s="900">
        <f>SUM(AC31:AD31)</f>
        <v>0</v>
      </c>
      <c r="AF31" s="903"/>
      <c r="AG31" s="903"/>
      <c r="AH31" s="900">
        <f>SUM(AF31:AG31)</f>
        <v>0</v>
      </c>
    </row>
    <row r="32" spans="1:34" ht="45" x14ac:dyDescent="0.25">
      <c r="A32" s="893" t="s">
        <v>15</v>
      </c>
      <c r="B32" s="895" t="s">
        <v>1097</v>
      </c>
      <c r="C32" s="895" t="s">
        <v>1083</v>
      </c>
      <c r="D32" s="901">
        <v>5756</v>
      </c>
      <c r="E32" s="904">
        <f t="shared" si="17"/>
        <v>5756</v>
      </c>
      <c r="F32" s="902">
        <f>74756-1136</f>
        <v>73620</v>
      </c>
      <c r="G32" s="899">
        <f>+J32+M32+P32+S32+V32+Y32+AB32+AE32</f>
        <v>67864</v>
      </c>
      <c r="H32" s="903"/>
      <c r="I32" s="903"/>
      <c r="J32" s="900">
        <f t="shared" si="2"/>
        <v>0</v>
      </c>
      <c r="K32" s="903"/>
      <c r="L32" s="903"/>
      <c r="M32" s="900">
        <f t="shared" si="3"/>
        <v>0</v>
      </c>
      <c r="N32" s="903"/>
      <c r="O32" s="903"/>
      <c r="P32" s="900">
        <f t="shared" si="4"/>
        <v>0</v>
      </c>
      <c r="Q32" s="903"/>
      <c r="R32" s="903"/>
      <c r="S32" s="900">
        <f t="shared" si="5"/>
        <v>0</v>
      </c>
      <c r="T32" s="903">
        <v>0</v>
      </c>
      <c r="U32" s="903"/>
      <c r="V32" s="900">
        <f t="shared" si="6"/>
        <v>0</v>
      </c>
      <c r="W32" s="903">
        <v>67864</v>
      </c>
      <c r="X32" s="903"/>
      <c r="Y32" s="900">
        <f t="shared" si="7"/>
        <v>67864</v>
      </c>
      <c r="Z32" s="903"/>
      <c r="AA32" s="903"/>
      <c r="AB32" s="900">
        <f t="shared" si="8"/>
        <v>0</v>
      </c>
      <c r="AC32" s="903"/>
      <c r="AD32" s="903"/>
      <c r="AE32" s="900">
        <f t="shared" ref="AE32:AE43" si="23">SUM(AC32:AD32)</f>
        <v>0</v>
      </c>
      <c r="AF32" s="903"/>
      <c r="AG32" s="903"/>
      <c r="AH32" s="900">
        <f t="shared" ref="AH32:AH38" si="24">SUM(AF32:AG32)</f>
        <v>0</v>
      </c>
    </row>
    <row r="33" spans="1:34" ht="30" x14ac:dyDescent="0.25">
      <c r="A33" s="893" t="s">
        <v>16</v>
      </c>
      <c r="B33" s="895" t="s">
        <v>1098</v>
      </c>
      <c r="C33" s="895" t="s">
        <v>1083</v>
      </c>
      <c r="D33" s="901">
        <v>0</v>
      </c>
      <c r="E33" s="904">
        <f t="shared" si="17"/>
        <v>0</v>
      </c>
      <c r="F33" s="902">
        <v>113043</v>
      </c>
      <c r="G33" s="899">
        <f>+J33+M33+P33+S33+V33+Y33+AB33+AE33</f>
        <v>113043</v>
      </c>
      <c r="H33" s="903"/>
      <c r="I33" s="903"/>
      <c r="J33" s="900">
        <f t="shared" si="2"/>
        <v>0</v>
      </c>
      <c r="K33" s="903"/>
      <c r="L33" s="903"/>
      <c r="M33" s="900">
        <f t="shared" si="3"/>
        <v>0</v>
      </c>
      <c r="N33" s="903"/>
      <c r="O33" s="903"/>
      <c r="P33" s="900">
        <f t="shared" si="4"/>
        <v>0</v>
      </c>
      <c r="Q33" s="903"/>
      <c r="R33" s="903"/>
      <c r="S33" s="900">
        <f t="shared" si="5"/>
        <v>0</v>
      </c>
      <c r="T33" s="903">
        <v>57145</v>
      </c>
      <c r="U33" s="903"/>
      <c r="V33" s="900">
        <f t="shared" si="6"/>
        <v>57145</v>
      </c>
      <c r="W33" s="903">
        <f>90238-57145-28343+51141</f>
        <v>55891</v>
      </c>
      <c r="X33" s="903"/>
      <c r="Y33" s="900">
        <f t="shared" si="7"/>
        <v>55891</v>
      </c>
      <c r="Z33" s="903">
        <v>7</v>
      </c>
      <c r="AA33" s="903"/>
      <c r="AB33" s="900">
        <f t="shared" si="8"/>
        <v>7</v>
      </c>
      <c r="AC33" s="903"/>
      <c r="AD33" s="903"/>
      <c r="AE33" s="900">
        <f t="shared" si="23"/>
        <v>0</v>
      </c>
      <c r="AF33" s="903"/>
      <c r="AG33" s="903"/>
      <c r="AH33" s="900">
        <f t="shared" si="24"/>
        <v>0</v>
      </c>
    </row>
    <row r="34" spans="1:34" ht="30" x14ac:dyDescent="0.25">
      <c r="A34" s="893" t="s">
        <v>17</v>
      </c>
      <c r="B34" s="895" t="s">
        <v>1099</v>
      </c>
      <c r="C34" s="895" t="s">
        <v>1088</v>
      </c>
      <c r="D34" s="901"/>
      <c r="E34" s="904">
        <f t="shared" si="17"/>
        <v>0</v>
      </c>
      <c r="F34" s="902">
        <v>537537</v>
      </c>
      <c r="G34" s="899">
        <f t="shared" ref="G34" si="25">+J34+M34+P34+S34+V34+Y34+AB34+AE34</f>
        <v>537537</v>
      </c>
      <c r="H34" s="903"/>
      <c r="I34" s="903"/>
      <c r="J34" s="900">
        <f t="shared" si="2"/>
        <v>0</v>
      </c>
      <c r="K34" s="903"/>
      <c r="L34" s="903"/>
      <c r="M34" s="900">
        <f t="shared" si="3"/>
        <v>0</v>
      </c>
      <c r="N34" s="903"/>
      <c r="O34" s="903"/>
      <c r="P34" s="900">
        <f t="shared" si="4"/>
        <v>0</v>
      </c>
      <c r="Q34" s="903">
        <v>6971</v>
      </c>
      <c r="R34" s="903"/>
      <c r="S34" s="900">
        <f t="shared" si="5"/>
        <v>6971</v>
      </c>
      <c r="T34" s="903">
        <v>0</v>
      </c>
      <c r="U34" s="903"/>
      <c r="V34" s="900">
        <f t="shared" si="6"/>
        <v>0</v>
      </c>
      <c r="W34" s="903">
        <v>-6971</v>
      </c>
      <c r="X34" s="903"/>
      <c r="Y34" s="900">
        <f t="shared" si="7"/>
        <v>-6971</v>
      </c>
      <c r="Z34" s="903">
        <v>261840</v>
      </c>
      <c r="AA34" s="903"/>
      <c r="AB34" s="900">
        <f t="shared" si="8"/>
        <v>261840</v>
      </c>
      <c r="AC34" s="903">
        <v>275697</v>
      </c>
      <c r="AD34" s="903"/>
      <c r="AE34" s="900">
        <f t="shared" si="23"/>
        <v>275697</v>
      </c>
      <c r="AF34" s="903"/>
      <c r="AG34" s="903"/>
      <c r="AH34" s="900">
        <f t="shared" si="24"/>
        <v>0</v>
      </c>
    </row>
    <row r="35" spans="1:34" ht="45" x14ac:dyDescent="0.25">
      <c r="A35" s="893" t="s">
        <v>18</v>
      </c>
      <c r="B35" s="895" t="s">
        <v>1100</v>
      </c>
      <c r="C35" s="895" t="s">
        <v>1083</v>
      </c>
      <c r="D35" s="901">
        <v>0</v>
      </c>
      <c r="E35" s="904">
        <f t="shared" si="17"/>
        <v>0</v>
      </c>
      <c r="F35" s="902">
        <f>192360-7294</f>
        <v>185066</v>
      </c>
      <c r="G35" s="899">
        <f>+J35+M35+P35+S35+V35+Y35+AB35+AE35</f>
        <v>185066</v>
      </c>
      <c r="H35" s="903"/>
      <c r="I35" s="903"/>
      <c r="J35" s="900">
        <f t="shared" si="2"/>
        <v>0</v>
      </c>
      <c r="K35" s="903"/>
      <c r="L35" s="903"/>
      <c r="M35" s="900">
        <f t="shared" si="3"/>
        <v>0</v>
      </c>
      <c r="N35" s="903"/>
      <c r="O35" s="903"/>
      <c r="P35" s="900">
        <f t="shared" si="4"/>
        <v>0</v>
      </c>
      <c r="Q35" s="903">
        <v>4700</v>
      </c>
      <c r="R35" s="903"/>
      <c r="S35" s="900">
        <f t="shared" si="5"/>
        <v>4700</v>
      </c>
      <c r="T35" s="903">
        <v>178626</v>
      </c>
      <c r="U35" s="903"/>
      <c r="V35" s="900">
        <f t="shared" si="6"/>
        <v>178626</v>
      </c>
      <c r="W35" s="903">
        <f>9034-9034</f>
        <v>0</v>
      </c>
      <c r="X35" s="903"/>
      <c r="Y35" s="900">
        <f t="shared" si="7"/>
        <v>0</v>
      </c>
      <c r="Z35" s="903">
        <v>1740</v>
      </c>
      <c r="AA35" s="903"/>
      <c r="AB35" s="900">
        <f t="shared" si="8"/>
        <v>1740</v>
      </c>
      <c r="AC35" s="903"/>
      <c r="AD35" s="903"/>
      <c r="AE35" s="900">
        <f t="shared" si="23"/>
        <v>0</v>
      </c>
      <c r="AF35" s="903"/>
      <c r="AG35" s="903"/>
      <c r="AH35" s="900">
        <f t="shared" si="24"/>
        <v>0</v>
      </c>
    </row>
    <row r="36" spans="1:34" ht="30" x14ac:dyDescent="0.25">
      <c r="A36" s="893" t="s">
        <v>19</v>
      </c>
      <c r="B36" s="895" t="s">
        <v>1101</v>
      </c>
      <c r="C36" s="895" t="s">
        <v>1088</v>
      </c>
      <c r="D36" s="901">
        <v>0</v>
      </c>
      <c r="E36" s="904">
        <f t="shared" si="17"/>
        <v>0</v>
      </c>
      <c r="F36" s="902">
        <v>425480</v>
      </c>
      <c r="G36" s="899">
        <f>+J36+M36+P36+S36+V36+Y36+AB36+AE36</f>
        <v>425480</v>
      </c>
      <c r="H36" s="903"/>
      <c r="I36" s="903"/>
      <c r="J36" s="900">
        <f t="shared" si="2"/>
        <v>0</v>
      </c>
      <c r="K36" s="903"/>
      <c r="L36" s="903"/>
      <c r="M36" s="900">
        <f t="shared" si="3"/>
        <v>0</v>
      </c>
      <c r="N36" s="903"/>
      <c r="O36" s="903"/>
      <c r="P36" s="900">
        <f t="shared" si="4"/>
        <v>0</v>
      </c>
      <c r="Q36" s="903"/>
      <c r="R36" s="903">
        <v>425480</v>
      </c>
      <c r="S36" s="900">
        <f t="shared" si="5"/>
        <v>425480</v>
      </c>
      <c r="T36" s="903"/>
      <c r="U36" s="903"/>
      <c r="V36" s="900">
        <f t="shared" si="6"/>
        <v>0</v>
      </c>
      <c r="W36" s="903"/>
      <c r="X36" s="903"/>
      <c r="Y36" s="900">
        <f t="shared" si="7"/>
        <v>0</v>
      </c>
      <c r="Z36" s="903"/>
      <c r="AA36" s="903"/>
      <c r="AB36" s="900">
        <f t="shared" si="8"/>
        <v>0</v>
      </c>
      <c r="AC36" s="903"/>
      <c r="AD36" s="903"/>
      <c r="AE36" s="900">
        <f t="shared" si="23"/>
        <v>0</v>
      </c>
      <c r="AF36" s="903"/>
      <c r="AG36" s="903"/>
      <c r="AH36" s="900">
        <f t="shared" si="24"/>
        <v>0</v>
      </c>
    </row>
    <row r="37" spans="1:34" ht="30" x14ac:dyDescent="0.25">
      <c r="A37" s="893" t="s">
        <v>20</v>
      </c>
      <c r="B37" s="895" t="s">
        <v>731</v>
      </c>
      <c r="C37" s="895" t="s">
        <v>1088</v>
      </c>
      <c r="D37" s="901">
        <v>0</v>
      </c>
      <c r="E37" s="904">
        <f t="shared" si="17"/>
        <v>0</v>
      </c>
      <c r="F37" s="902">
        <v>5473455</v>
      </c>
      <c r="G37" s="899">
        <f>+J37+M37+P37+S37+V37+Y37+AB37+AE37</f>
        <v>5473455</v>
      </c>
      <c r="H37" s="903"/>
      <c r="I37" s="903"/>
      <c r="J37" s="900">
        <f t="shared" ref="J37" si="26">SUM(H37:I37)</f>
        <v>0</v>
      </c>
      <c r="K37" s="903"/>
      <c r="L37" s="903"/>
      <c r="M37" s="900">
        <f t="shared" ref="M37" si="27">SUM(K37:L37)</f>
        <v>0</v>
      </c>
      <c r="N37" s="903"/>
      <c r="O37" s="903"/>
      <c r="P37" s="900">
        <f t="shared" ref="P37" si="28">SUM(N37:O37)</f>
        <v>0</v>
      </c>
      <c r="Q37" s="903"/>
      <c r="R37" s="903"/>
      <c r="S37" s="900">
        <f t="shared" ref="S37" si="29">SUM(Q37:R37)</f>
        <v>0</v>
      </c>
      <c r="T37" s="903"/>
      <c r="U37" s="903"/>
      <c r="V37" s="900">
        <f t="shared" ref="V37" si="30">SUM(T37:U37)</f>
        <v>0</v>
      </c>
      <c r="W37" s="903"/>
      <c r="X37" s="903">
        <f>2576429-1287</f>
        <v>2575142</v>
      </c>
      <c r="Y37" s="900">
        <f t="shared" ref="Y37" si="31">SUM(W37:X37)</f>
        <v>2575142</v>
      </c>
      <c r="Z37" s="903"/>
      <c r="AA37" s="903">
        <v>2898313</v>
      </c>
      <c r="AB37" s="900">
        <f t="shared" ref="AB37" si="32">SUM(Z37:AA37)</f>
        <v>2898313</v>
      </c>
      <c r="AC37" s="903"/>
      <c r="AD37" s="903"/>
      <c r="AE37" s="900">
        <f t="shared" ref="AE37" si="33">SUM(AC37:AD37)</f>
        <v>0</v>
      </c>
      <c r="AF37" s="903"/>
      <c r="AG37" s="903"/>
      <c r="AH37" s="900">
        <f t="shared" ref="AH37" si="34">SUM(AF37:AG37)</f>
        <v>0</v>
      </c>
    </row>
    <row r="38" spans="1:34" x14ac:dyDescent="0.25">
      <c r="A38" s="893" t="s">
        <v>21</v>
      </c>
      <c r="B38" s="895" t="s">
        <v>809</v>
      </c>
      <c r="C38" s="895" t="s">
        <v>1088</v>
      </c>
      <c r="D38" s="901">
        <f>66019+4758</f>
        <v>70777</v>
      </c>
      <c r="E38" s="904">
        <f t="shared" si="17"/>
        <v>70777</v>
      </c>
      <c r="F38" s="902">
        <f>327668+4758</f>
        <v>332426</v>
      </c>
      <c r="G38" s="899">
        <f>+J38+M38+P38+S38+V38+Y38+AB38+AE38</f>
        <v>261649</v>
      </c>
      <c r="H38" s="903"/>
      <c r="I38" s="903"/>
      <c r="J38" s="900">
        <f t="shared" si="2"/>
        <v>0</v>
      </c>
      <c r="K38" s="903"/>
      <c r="L38" s="903"/>
      <c r="M38" s="900">
        <f t="shared" si="3"/>
        <v>0</v>
      </c>
      <c r="N38" s="903"/>
      <c r="O38" s="903"/>
      <c r="P38" s="900">
        <f t="shared" si="4"/>
        <v>0</v>
      </c>
      <c r="Q38" s="903"/>
      <c r="R38" s="903"/>
      <c r="S38" s="900">
        <f t="shared" si="5"/>
        <v>0</v>
      </c>
      <c r="T38" s="903">
        <v>54208</v>
      </c>
      <c r="U38" s="903"/>
      <c r="V38" s="900">
        <f t="shared" si="6"/>
        <v>54208</v>
      </c>
      <c r="W38" s="903">
        <v>207441</v>
      </c>
      <c r="X38" s="903"/>
      <c r="Y38" s="900">
        <f t="shared" si="7"/>
        <v>207441</v>
      </c>
      <c r="Z38" s="903"/>
      <c r="AA38" s="903"/>
      <c r="AB38" s="900">
        <f t="shared" si="8"/>
        <v>0</v>
      </c>
      <c r="AC38" s="903"/>
      <c r="AD38" s="903"/>
      <c r="AE38" s="900">
        <f t="shared" si="23"/>
        <v>0</v>
      </c>
      <c r="AF38" s="903"/>
      <c r="AG38" s="903"/>
      <c r="AH38" s="900">
        <f t="shared" si="24"/>
        <v>0</v>
      </c>
    </row>
    <row r="39" spans="1:34" ht="21.75" customHeight="1" x14ac:dyDescent="0.25">
      <c r="A39" s="893" t="s">
        <v>561</v>
      </c>
      <c r="B39" s="895" t="s">
        <v>1102</v>
      </c>
      <c r="C39" s="895" t="s">
        <v>1088</v>
      </c>
      <c r="D39" s="901">
        <v>0</v>
      </c>
      <c r="E39" s="904">
        <f t="shared" si="17"/>
        <v>0</v>
      </c>
      <c r="F39" s="902">
        <v>1917630.588</v>
      </c>
      <c r="G39" s="899">
        <f>+J39+M39+P39+S39+V39+Y39+AB39+AE39</f>
        <v>1917630.588</v>
      </c>
      <c r="H39" s="903"/>
      <c r="I39" s="903"/>
      <c r="J39" s="900">
        <f t="shared" si="2"/>
        <v>0</v>
      </c>
      <c r="K39" s="903"/>
      <c r="L39" s="903"/>
      <c r="M39" s="900">
        <f t="shared" si="3"/>
        <v>0</v>
      </c>
      <c r="N39" s="903"/>
      <c r="O39" s="903"/>
      <c r="P39" s="900">
        <f t="shared" si="4"/>
        <v>0</v>
      </c>
      <c r="Q39" s="903"/>
      <c r="R39" s="903"/>
      <c r="S39" s="900">
        <f t="shared" si="5"/>
        <v>0</v>
      </c>
      <c r="T39" s="903">
        <v>0</v>
      </c>
      <c r="U39" s="903"/>
      <c r="V39" s="900">
        <f t="shared" si="6"/>
        <v>0</v>
      </c>
      <c r="W39" s="903">
        <f>+F39-1316538</f>
        <v>601092.58799999999</v>
      </c>
      <c r="X39" s="903"/>
      <c r="Y39" s="900">
        <f t="shared" si="7"/>
        <v>601092.58799999999</v>
      </c>
      <c r="Z39" s="903">
        <v>1316538</v>
      </c>
      <c r="AA39" s="903"/>
      <c r="AB39" s="900">
        <f t="shared" si="8"/>
        <v>1316538</v>
      </c>
      <c r="AC39" s="903"/>
      <c r="AD39" s="903"/>
      <c r="AE39" s="900">
        <f t="shared" si="23"/>
        <v>0</v>
      </c>
      <c r="AF39" s="903"/>
      <c r="AG39" s="903"/>
      <c r="AH39" s="900">
        <f t="shared" ref="AH39:AH43" si="35">SUM(AF39:AG39)</f>
        <v>0</v>
      </c>
    </row>
    <row r="40" spans="1:34" x14ac:dyDescent="0.25">
      <c r="A40" s="893" t="s">
        <v>562</v>
      </c>
      <c r="B40" s="895" t="s">
        <v>555</v>
      </c>
      <c r="C40" s="895" t="s">
        <v>1088</v>
      </c>
      <c r="D40" s="901">
        <v>371</v>
      </c>
      <c r="E40" s="904">
        <v>371</v>
      </c>
      <c r="F40" s="902">
        <v>185950</v>
      </c>
      <c r="G40" s="903">
        <f t="shared" ref="G40" si="36">+J40+M40+P40+S40+V40+Y40+AB40+AE40</f>
        <v>185648</v>
      </c>
      <c r="H40" s="903"/>
      <c r="I40" s="903"/>
      <c r="J40" s="900">
        <f t="shared" si="2"/>
        <v>0</v>
      </c>
      <c r="K40" s="903"/>
      <c r="L40" s="903"/>
      <c r="M40" s="900">
        <f t="shared" si="3"/>
        <v>0</v>
      </c>
      <c r="N40" s="903"/>
      <c r="O40" s="903"/>
      <c r="P40" s="900">
        <f t="shared" si="4"/>
        <v>0</v>
      </c>
      <c r="Q40" s="903">
        <v>117585</v>
      </c>
      <c r="R40" s="903"/>
      <c r="S40" s="900">
        <f t="shared" si="5"/>
        <v>117585</v>
      </c>
      <c r="T40" s="903">
        <v>0</v>
      </c>
      <c r="U40" s="903"/>
      <c r="V40" s="900">
        <f t="shared" si="6"/>
        <v>0</v>
      </c>
      <c r="W40" s="903">
        <f>68063-68063</f>
        <v>0</v>
      </c>
      <c r="X40" s="903"/>
      <c r="Y40" s="900">
        <f t="shared" si="7"/>
        <v>0</v>
      </c>
      <c r="Z40" s="903">
        <v>68063</v>
      </c>
      <c r="AA40" s="903"/>
      <c r="AB40" s="900">
        <f t="shared" si="8"/>
        <v>68063</v>
      </c>
      <c r="AC40" s="903"/>
      <c r="AD40" s="903"/>
      <c r="AE40" s="900">
        <f t="shared" si="23"/>
        <v>0</v>
      </c>
      <c r="AF40" s="903"/>
      <c r="AG40" s="903"/>
      <c r="AH40" s="900">
        <f t="shared" si="35"/>
        <v>0</v>
      </c>
    </row>
    <row r="41" spans="1:34" ht="45" x14ac:dyDescent="0.25">
      <c r="A41" s="893" t="s">
        <v>1103</v>
      </c>
      <c r="B41" s="895" t="s">
        <v>550</v>
      </c>
      <c r="C41" s="895" t="s">
        <v>1088</v>
      </c>
      <c r="D41" s="901">
        <v>0</v>
      </c>
      <c r="E41" s="904">
        <f t="shared" si="17"/>
        <v>0</v>
      </c>
      <c r="F41" s="902">
        <v>88509</v>
      </c>
      <c r="G41" s="903">
        <f>+J41+M41+P41+S41+V41+Y41+AB41+AE41</f>
        <v>88509</v>
      </c>
      <c r="H41" s="903"/>
      <c r="I41" s="903"/>
      <c r="J41" s="900">
        <f t="shared" si="2"/>
        <v>0</v>
      </c>
      <c r="K41" s="903"/>
      <c r="L41" s="903"/>
      <c r="M41" s="900">
        <f t="shared" si="3"/>
        <v>0</v>
      </c>
      <c r="N41" s="903"/>
      <c r="O41" s="903"/>
      <c r="P41" s="900">
        <f t="shared" si="4"/>
        <v>0</v>
      </c>
      <c r="Q41" s="903"/>
      <c r="R41" s="903"/>
      <c r="S41" s="900">
        <f t="shared" si="5"/>
        <v>0</v>
      </c>
      <c r="T41" s="903"/>
      <c r="U41" s="903">
        <v>88509</v>
      </c>
      <c r="V41" s="900">
        <f t="shared" si="6"/>
        <v>88509</v>
      </c>
      <c r="W41" s="903"/>
      <c r="X41" s="903"/>
      <c r="Y41" s="900">
        <f t="shared" si="7"/>
        <v>0</v>
      </c>
      <c r="Z41" s="903"/>
      <c r="AA41" s="903"/>
      <c r="AB41" s="900">
        <f t="shared" si="8"/>
        <v>0</v>
      </c>
      <c r="AC41" s="903"/>
      <c r="AD41" s="903"/>
      <c r="AE41" s="900">
        <f t="shared" si="23"/>
        <v>0</v>
      </c>
      <c r="AF41" s="903"/>
      <c r="AG41" s="903"/>
      <c r="AH41" s="900">
        <f t="shared" si="35"/>
        <v>0</v>
      </c>
    </row>
    <row r="42" spans="1:34" x14ac:dyDescent="0.25">
      <c r="A42" s="893" t="s">
        <v>1104</v>
      </c>
      <c r="B42" s="895" t="s">
        <v>807</v>
      </c>
      <c r="C42" s="895" t="s">
        <v>1088</v>
      </c>
      <c r="D42" s="901">
        <v>0</v>
      </c>
      <c r="E42" s="904">
        <f t="shared" si="17"/>
        <v>0</v>
      </c>
      <c r="F42" s="902">
        <v>38597</v>
      </c>
      <c r="G42" s="899">
        <f>+J42+M42+P42+S42+V42+Y42+AB42+AE42+AF42</f>
        <v>38597</v>
      </c>
      <c r="H42" s="903"/>
      <c r="I42" s="903"/>
      <c r="J42" s="900">
        <f t="shared" si="2"/>
        <v>0</v>
      </c>
      <c r="K42" s="903"/>
      <c r="L42" s="903"/>
      <c r="M42" s="900">
        <f t="shared" si="3"/>
        <v>0</v>
      </c>
      <c r="N42" s="903"/>
      <c r="O42" s="903"/>
      <c r="P42" s="900">
        <f t="shared" si="4"/>
        <v>0</v>
      </c>
      <c r="Q42" s="903">
        <v>2306</v>
      </c>
      <c r="R42" s="903"/>
      <c r="S42" s="900">
        <f t="shared" si="5"/>
        <v>2306</v>
      </c>
      <c r="T42" s="903">
        <v>0</v>
      </c>
      <c r="U42" s="903"/>
      <c r="V42" s="900">
        <f t="shared" si="6"/>
        <v>0</v>
      </c>
      <c r="W42" s="903">
        <f>6732+1293+2213</f>
        <v>10238</v>
      </c>
      <c r="X42" s="903"/>
      <c r="Y42" s="900">
        <f t="shared" si="7"/>
        <v>10238</v>
      </c>
      <c r="Z42" s="903">
        <v>4592</v>
      </c>
      <c r="AA42" s="903"/>
      <c r="AB42" s="900">
        <f t="shared" si="8"/>
        <v>4592</v>
      </c>
      <c r="AC42" s="903">
        <v>158</v>
      </c>
      <c r="AD42" s="903"/>
      <c r="AE42" s="900">
        <f t="shared" si="23"/>
        <v>158</v>
      </c>
      <c r="AF42" s="903">
        <v>21303</v>
      </c>
      <c r="AG42" s="903"/>
      <c r="AH42" s="900">
        <f t="shared" si="35"/>
        <v>21303</v>
      </c>
    </row>
    <row r="43" spans="1:34" ht="60" x14ac:dyDescent="0.25">
      <c r="A43" s="893" t="s">
        <v>1105</v>
      </c>
      <c r="B43" s="895" t="s">
        <v>1106</v>
      </c>
      <c r="C43" s="895" t="s">
        <v>1088</v>
      </c>
      <c r="D43" s="901">
        <v>0</v>
      </c>
      <c r="E43" s="904">
        <v>3962775</v>
      </c>
      <c r="F43" s="902">
        <f>2462775+1500000</f>
        <v>3962775</v>
      </c>
      <c r="G43" s="899">
        <f t="shared" ref="G43:G44" si="37">+J43+M43+P43+S43+V43+Y43+AB43+AE43</f>
        <v>3962775</v>
      </c>
      <c r="H43" s="903"/>
      <c r="I43" s="903"/>
      <c r="J43" s="900">
        <f t="shared" si="2"/>
        <v>0</v>
      </c>
      <c r="K43" s="903"/>
      <c r="L43" s="903"/>
      <c r="M43" s="900">
        <f t="shared" si="3"/>
        <v>0</v>
      </c>
      <c r="N43" s="903"/>
      <c r="O43" s="903"/>
      <c r="P43" s="900">
        <f t="shared" si="4"/>
        <v>0</v>
      </c>
      <c r="Q43" s="903"/>
      <c r="R43" s="903">
        <v>918200</v>
      </c>
      <c r="S43" s="900">
        <f t="shared" si="5"/>
        <v>918200</v>
      </c>
      <c r="T43" s="903"/>
      <c r="U43" s="903">
        <v>1544575</v>
      </c>
      <c r="V43" s="900">
        <f t="shared" si="6"/>
        <v>1544575</v>
      </c>
      <c r="W43" s="903"/>
      <c r="X43" s="903">
        <v>1500000</v>
      </c>
      <c r="Y43" s="900">
        <f t="shared" si="7"/>
        <v>1500000</v>
      </c>
      <c r="Z43" s="903"/>
      <c r="AA43" s="903"/>
      <c r="AB43" s="900">
        <f t="shared" si="8"/>
        <v>0</v>
      </c>
      <c r="AC43" s="903"/>
      <c r="AD43" s="903"/>
      <c r="AE43" s="900">
        <f t="shared" si="23"/>
        <v>0</v>
      </c>
      <c r="AF43" s="903"/>
      <c r="AG43" s="903"/>
      <c r="AH43" s="900">
        <f t="shared" si="35"/>
        <v>0</v>
      </c>
    </row>
    <row r="44" spans="1:34" ht="45" x14ac:dyDescent="0.25">
      <c r="A44" s="893" t="s">
        <v>1107</v>
      </c>
      <c r="B44" s="895" t="s">
        <v>1108</v>
      </c>
      <c r="C44" s="895" t="s">
        <v>1088</v>
      </c>
      <c r="D44" s="901">
        <v>0</v>
      </c>
      <c r="E44" s="904">
        <v>650000</v>
      </c>
      <c r="F44" s="902">
        <v>650000</v>
      </c>
      <c r="G44" s="899">
        <f t="shared" si="37"/>
        <v>650000</v>
      </c>
      <c r="H44" s="903"/>
      <c r="I44" s="903"/>
      <c r="J44" s="900">
        <f t="shared" si="2"/>
        <v>0</v>
      </c>
      <c r="K44" s="903"/>
      <c r="L44" s="903"/>
      <c r="M44" s="900">
        <f t="shared" si="3"/>
        <v>0</v>
      </c>
      <c r="N44" s="903"/>
      <c r="O44" s="903"/>
      <c r="P44" s="900">
        <f t="shared" si="4"/>
        <v>0</v>
      </c>
      <c r="Q44" s="903"/>
      <c r="R44" s="903"/>
      <c r="S44" s="900">
        <f t="shared" si="5"/>
        <v>0</v>
      </c>
      <c r="T44" s="903"/>
      <c r="U44" s="903"/>
      <c r="V44" s="900">
        <f t="shared" si="6"/>
        <v>0</v>
      </c>
      <c r="W44" s="903"/>
      <c r="X44" s="903">
        <v>650000</v>
      </c>
      <c r="Y44" s="900">
        <f t="shared" si="7"/>
        <v>650000</v>
      </c>
      <c r="Z44" s="903"/>
      <c r="AA44" s="903"/>
      <c r="AB44" s="900">
        <f t="shared" si="8"/>
        <v>0</v>
      </c>
      <c r="AC44" s="903"/>
      <c r="AD44" s="903"/>
      <c r="AE44" s="900">
        <f t="shared" ref="AE44" si="38">SUM(AC44:AD44)</f>
        <v>0</v>
      </c>
      <c r="AF44" s="903"/>
      <c r="AG44" s="903"/>
      <c r="AH44" s="900">
        <f t="shared" ref="AH44" si="39">SUM(AF44:AG44)</f>
        <v>0</v>
      </c>
    </row>
    <row r="45" spans="1:34" x14ac:dyDescent="0.25">
      <c r="A45" s="893" t="s">
        <v>1109</v>
      </c>
      <c r="B45" s="895" t="s">
        <v>1110</v>
      </c>
      <c r="C45" s="895" t="s">
        <v>1088</v>
      </c>
      <c r="D45" s="901">
        <v>0</v>
      </c>
      <c r="E45" s="904">
        <f>+F45-G45</f>
        <v>0</v>
      </c>
      <c r="F45" s="902">
        <v>2000000</v>
      </c>
      <c r="G45" s="899">
        <f>+J45+M45+P45+S45+V45+Y45+AB45+AE45+AH45</f>
        <v>2000000</v>
      </c>
      <c r="H45" s="903"/>
      <c r="I45" s="903"/>
      <c r="J45" s="900">
        <f>SUM(H45:I45)</f>
        <v>0</v>
      </c>
      <c r="K45" s="903"/>
      <c r="L45" s="903"/>
      <c r="M45" s="900">
        <f>SUM(K45:L45)</f>
        <v>0</v>
      </c>
      <c r="N45" s="903"/>
      <c r="O45" s="903"/>
      <c r="P45" s="900">
        <f>SUM(N45:O45)</f>
        <v>0</v>
      </c>
      <c r="Q45" s="903"/>
      <c r="R45" s="903"/>
      <c r="S45" s="900">
        <f>SUM(Q45:R45)</f>
        <v>0</v>
      </c>
      <c r="T45" s="903">
        <v>0</v>
      </c>
      <c r="U45" s="903"/>
      <c r="V45" s="900">
        <f>SUM(T45:U45)</f>
        <v>0</v>
      </c>
      <c r="W45" s="903">
        <f>200000-200000</f>
        <v>0</v>
      </c>
      <c r="X45" s="903"/>
      <c r="Y45" s="900">
        <f>SUM(W45:X45)</f>
        <v>0</v>
      </c>
      <c r="Z45" s="903">
        <f>200000</f>
        <v>200000</v>
      </c>
      <c r="AA45" s="903"/>
      <c r="AB45" s="900">
        <f>SUM(Z45:AA45)</f>
        <v>200000</v>
      </c>
      <c r="AC45" s="903">
        <f>900000+900000</f>
        <v>1800000</v>
      </c>
      <c r="AD45" s="903"/>
      <c r="AE45" s="900">
        <f>SUM(AC45:AD45)</f>
        <v>1800000</v>
      </c>
      <c r="AF45" s="903"/>
      <c r="AG45" s="903"/>
      <c r="AH45" s="900">
        <f>SUM(AF45:AG45)</f>
        <v>0</v>
      </c>
    </row>
    <row r="46" spans="1:34" x14ac:dyDescent="0.25">
      <c r="A46" s="893" t="s">
        <v>1111</v>
      </c>
      <c r="B46" s="907" t="s">
        <v>908</v>
      </c>
      <c r="C46" s="895" t="s">
        <v>1088</v>
      </c>
      <c r="D46" s="901">
        <v>5000</v>
      </c>
      <c r="E46" s="904">
        <f t="shared" ref="E46:E57" si="40">+F46-G46</f>
        <v>5000</v>
      </c>
      <c r="F46" s="902">
        <v>113829</v>
      </c>
      <c r="G46" s="899">
        <f t="shared" ref="G46:G57" si="41">+J46+M46+P46+S46+V46+Y46+AB46+AE46</f>
        <v>108829</v>
      </c>
      <c r="H46" s="903"/>
      <c r="I46" s="903"/>
      <c r="J46" s="900"/>
      <c r="K46" s="903"/>
      <c r="L46" s="903"/>
      <c r="M46" s="900"/>
      <c r="N46" s="903"/>
      <c r="O46" s="903"/>
      <c r="P46" s="900"/>
      <c r="Q46" s="903"/>
      <c r="R46" s="903"/>
      <c r="S46" s="900"/>
      <c r="T46" s="903"/>
      <c r="U46" s="903"/>
      <c r="V46" s="900"/>
      <c r="W46" s="903"/>
      <c r="X46" s="903"/>
      <c r="Y46" s="900">
        <f t="shared" ref="Y46:Y57" si="42">SUM(W46:X46)</f>
        <v>0</v>
      </c>
      <c r="Z46" s="903">
        <v>108829</v>
      </c>
      <c r="AA46" s="903"/>
      <c r="AB46" s="900">
        <f t="shared" ref="AB46:AB57" si="43">SUM(Z46:AA46)</f>
        <v>108829</v>
      </c>
      <c r="AC46" s="903"/>
      <c r="AD46" s="903"/>
      <c r="AE46" s="900">
        <f t="shared" ref="AE46:AE57" si="44">SUM(AC46:AD46)</f>
        <v>0</v>
      </c>
      <c r="AF46" s="903"/>
      <c r="AG46" s="903"/>
      <c r="AH46" s="900">
        <f t="shared" ref="AH46:AH56" si="45">SUM(AF46:AG46)</f>
        <v>0</v>
      </c>
    </row>
    <row r="47" spans="1:34" x14ac:dyDescent="0.25">
      <c r="A47" s="893" t="s">
        <v>1112</v>
      </c>
      <c r="B47" s="907" t="s">
        <v>1062</v>
      </c>
      <c r="C47" s="895" t="s">
        <v>1088</v>
      </c>
      <c r="D47" s="901"/>
      <c r="E47" s="904">
        <f t="shared" si="40"/>
        <v>0</v>
      </c>
      <c r="F47" s="902">
        <v>1020789</v>
      </c>
      <c r="G47" s="899">
        <f t="shared" si="41"/>
        <v>1020789</v>
      </c>
      <c r="H47" s="903"/>
      <c r="I47" s="903"/>
      <c r="J47" s="900"/>
      <c r="K47" s="903"/>
      <c r="L47" s="903"/>
      <c r="M47" s="900"/>
      <c r="N47" s="903"/>
      <c r="O47" s="903"/>
      <c r="P47" s="900"/>
      <c r="Q47" s="903"/>
      <c r="R47" s="903"/>
      <c r="S47" s="900"/>
      <c r="T47" s="903"/>
      <c r="U47" s="903"/>
      <c r="V47" s="900"/>
      <c r="W47" s="903"/>
      <c r="X47" s="903"/>
      <c r="Y47" s="900">
        <f t="shared" si="42"/>
        <v>0</v>
      </c>
      <c r="Z47" s="903">
        <v>232839</v>
      </c>
      <c r="AA47" s="903"/>
      <c r="AB47" s="900">
        <f t="shared" si="43"/>
        <v>232839</v>
      </c>
      <c r="AC47" s="903">
        <v>787950</v>
      </c>
      <c r="AD47" s="903"/>
      <c r="AE47" s="900">
        <f t="shared" si="44"/>
        <v>787950</v>
      </c>
      <c r="AF47" s="903"/>
      <c r="AG47" s="903"/>
      <c r="AH47" s="900">
        <f t="shared" si="45"/>
        <v>0</v>
      </c>
    </row>
    <row r="48" spans="1:34" ht="45" x14ac:dyDescent="0.25">
      <c r="A48" s="893" t="s">
        <v>1113</v>
      </c>
      <c r="B48" s="907" t="s">
        <v>979</v>
      </c>
      <c r="C48" s="895" t="s">
        <v>1088</v>
      </c>
      <c r="D48" s="901">
        <v>0</v>
      </c>
      <c r="E48" s="904">
        <f t="shared" si="40"/>
        <v>0</v>
      </c>
      <c r="F48" s="902">
        <f>750000+125000-375</f>
        <v>874625</v>
      </c>
      <c r="G48" s="899">
        <f t="shared" si="41"/>
        <v>874625</v>
      </c>
      <c r="H48" s="903"/>
      <c r="I48" s="903"/>
      <c r="J48" s="900"/>
      <c r="K48" s="903"/>
      <c r="L48" s="903"/>
      <c r="M48" s="900"/>
      <c r="N48" s="903"/>
      <c r="O48" s="903"/>
      <c r="P48" s="900"/>
      <c r="Q48" s="903"/>
      <c r="R48" s="903"/>
      <c r="S48" s="900"/>
      <c r="T48" s="903"/>
      <c r="U48" s="903"/>
      <c r="V48" s="900"/>
      <c r="W48" s="903"/>
      <c r="X48" s="903">
        <f>875000-375</f>
        <v>874625</v>
      </c>
      <c r="Y48" s="900">
        <f t="shared" si="42"/>
        <v>874625</v>
      </c>
      <c r="Z48" s="903"/>
      <c r="AA48" s="903"/>
      <c r="AB48" s="900">
        <f t="shared" si="43"/>
        <v>0</v>
      </c>
      <c r="AC48" s="903"/>
      <c r="AD48" s="903"/>
      <c r="AE48" s="900">
        <f t="shared" si="44"/>
        <v>0</v>
      </c>
      <c r="AF48" s="903"/>
      <c r="AG48" s="903"/>
      <c r="AH48" s="900">
        <f t="shared" si="45"/>
        <v>0</v>
      </c>
    </row>
    <row r="49" spans="1:34" x14ac:dyDescent="0.25">
      <c r="A49" s="893" t="s">
        <v>1114</v>
      </c>
      <c r="B49" s="907" t="s">
        <v>1115</v>
      </c>
      <c r="C49" s="895" t="s">
        <v>1088</v>
      </c>
      <c r="D49" s="901"/>
      <c r="E49" s="904">
        <f t="shared" si="40"/>
        <v>0</v>
      </c>
      <c r="F49" s="902">
        <v>13500</v>
      </c>
      <c r="G49" s="899">
        <f t="shared" si="41"/>
        <v>13500</v>
      </c>
      <c r="H49" s="903"/>
      <c r="I49" s="903"/>
      <c r="J49" s="900"/>
      <c r="K49" s="903"/>
      <c r="L49" s="903"/>
      <c r="M49" s="900"/>
      <c r="N49" s="903"/>
      <c r="O49" s="903"/>
      <c r="P49" s="900"/>
      <c r="Q49" s="903"/>
      <c r="R49" s="903"/>
      <c r="S49" s="900"/>
      <c r="T49" s="903"/>
      <c r="U49" s="903"/>
      <c r="V49" s="900"/>
      <c r="W49" s="903">
        <v>13500</v>
      </c>
      <c r="X49" s="903"/>
      <c r="Y49" s="900">
        <f t="shared" si="42"/>
        <v>13500</v>
      </c>
      <c r="Z49" s="903"/>
      <c r="AA49" s="903"/>
      <c r="AB49" s="900">
        <f t="shared" si="43"/>
        <v>0</v>
      </c>
      <c r="AC49" s="903"/>
      <c r="AD49" s="903"/>
      <c r="AE49" s="900">
        <f t="shared" si="44"/>
        <v>0</v>
      </c>
      <c r="AF49" s="903"/>
      <c r="AG49" s="903"/>
      <c r="AH49" s="900">
        <f t="shared" si="45"/>
        <v>0</v>
      </c>
    </row>
    <row r="50" spans="1:34" ht="30" x14ac:dyDescent="0.25">
      <c r="A50" s="893" t="s">
        <v>1116</v>
      </c>
      <c r="B50" s="907" t="s">
        <v>978</v>
      </c>
      <c r="C50" s="895" t="s">
        <v>1088</v>
      </c>
      <c r="D50" s="901"/>
      <c r="E50" s="904">
        <f t="shared" si="40"/>
        <v>0</v>
      </c>
      <c r="F50" s="902">
        <v>5825</v>
      </c>
      <c r="G50" s="899">
        <f t="shared" si="41"/>
        <v>5825</v>
      </c>
      <c r="H50" s="903"/>
      <c r="I50" s="903"/>
      <c r="J50" s="900"/>
      <c r="K50" s="903"/>
      <c r="L50" s="903"/>
      <c r="M50" s="900"/>
      <c r="N50" s="903"/>
      <c r="O50" s="903"/>
      <c r="P50" s="900"/>
      <c r="Q50" s="903"/>
      <c r="R50" s="903"/>
      <c r="S50" s="900"/>
      <c r="T50" s="903"/>
      <c r="U50" s="903"/>
      <c r="V50" s="900"/>
      <c r="W50" s="903"/>
      <c r="X50" s="903">
        <v>5825</v>
      </c>
      <c r="Y50" s="900">
        <f t="shared" si="42"/>
        <v>5825</v>
      </c>
      <c r="Z50" s="903"/>
      <c r="AA50" s="903"/>
      <c r="AB50" s="900">
        <f t="shared" si="43"/>
        <v>0</v>
      </c>
      <c r="AC50" s="903"/>
      <c r="AD50" s="903"/>
      <c r="AE50" s="900">
        <f t="shared" si="44"/>
        <v>0</v>
      </c>
      <c r="AF50" s="903"/>
      <c r="AG50" s="903"/>
      <c r="AH50" s="900">
        <f t="shared" si="45"/>
        <v>0</v>
      </c>
    </row>
    <row r="51" spans="1:34" ht="30" x14ac:dyDescent="0.25">
      <c r="A51" s="893" t="s">
        <v>1117</v>
      </c>
      <c r="B51" s="907" t="s">
        <v>1061</v>
      </c>
      <c r="C51" s="895" t="s">
        <v>1088</v>
      </c>
      <c r="D51" s="901">
        <v>0</v>
      </c>
      <c r="E51" s="904">
        <f t="shared" si="40"/>
        <v>0</v>
      </c>
      <c r="F51" s="902">
        <v>20000</v>
      </c>
      <c r="G51" s="899">
        <f t="shared" si="41"/>
        <v>20000</v>
      </c>
      <c r="H51" s="903"/>
      <c r="I51" s="903"/>
      <c r="J51" s="900"/>
      <c r="K51" s="903"/>
      <c r="L51" s="903"/>
      <c r="M51" s="900"/>
      <c r="N51" s="903"/>
      <c r="O51" s="903"/>
      <c r="P51" s="900"/>
      <c r="Q51" s="903"/>
      <c r="R51" s="903"/>
      <c r="S51" s="900"/>
      <c r="T51" s="903"/>
      <c r="U51" s="903"/>
      <c r="V51" s="900"/>
      <c r="W51" s="903">
        <v>5000</v>
      </c>
      <c r="X51" s="903"/>
      <c r="Y51" s="900">
        <f t="shared" si="42"/>
        <v>5000</v>
      </c>
      <c r="Z51" s="903">
        <v>14840</v>
      </c>
      <c r="AA51" s="903"/>
      <c r="AB51" s="900">
        <f t="shared" si="43"/>
        <v>14840</v>
      </c>
      <c r="AC51" s="903">
        <v>160</v>
      </c>
      <c r="AD51" s="903"/>
      <c r="AE51" s="900">
        <f t="shared" si="44"/>
        <v>160</v>
      </c>
      <c r="AF51" s="903"/>
      <c r="AG51" s="903"/>
      <c r="AH51" s="900">
        <f t="shared" si="45"/>
        <v>0</v>
      </c>
    </row>
    <row r="52" spans="1:34" x14ac:dyDescent="0.25">
      <c r="A52" s="893" t="s">
        <v>1118</v>
      </c>
      <c r="B52" s="907" t="s">
        <v>950</v>
      </c>
      <c r="C52" s="895" t="s">
        <v>1088</v>
      </c>
      <c r="D52" s="901">
        <v>0</v>
      </c>
      <c r="E52" s="904">
        <f t="shared" si="40"/>
        <v>0</v>
      </c>
      <c r="F52" s="902">
        <v>456473</v>
      </c>
      <c r="G52" s="899">
        <f t="shared" si="41"/>
        <v>456473</v>
      </c>
      <c r="H52" s="903"/>
      <c r="I52" s="903"/>
      <c r="J52" s="900"/>
      <c r="K52" s="903"/>
      <c r="L52" s="903"/>
      <c r="M52" s="900"/>
      <c r="N52" s="903"/>
      <c r="O52" s="903"/>
      <c r="P52" s="900"/>
      <c r="Q52" s="903"/>
      <c r="R52" s="903"/>
      <c r="S52" s="900"/>
      <c r="T52" s="903"/>
      <c r="U52" s="903"/>
      <c r="V52" s="900"/>
      <c r="W52" s="903">
        <v>270583</v>
      </c>
      <c r="X52" s="903"/>
      <c r="Y52" s="900">
        <f t="shared" si="42"/>
        <v>270583</v>
      </c>
      <c r="Z52" s="903">
        <v>185890</v>
      </c>
      <c r="AA52" s="903"/>
      <c r="AB52" s="900">
        <f t="shared" si="43"/>
        <v>185890</v>
      </c>
      <c r="AC52" s="903"/>
      <c r="AD52" s="903"/>
      <c r="AE52" s="900">
        <f t="shared" si="44"/>
        <v>0</v>
      </c>
      <c r="AF52" s="903"/>
      <c r="AG52" s="903"/>
      <c r="AH52" s="900">
        <f t="shared" si="45"/>
        <v>0</v>
      </c>
    </row>
    <row r="53" spans="1:34" ht="30" x14ac:dyDescent="0.25">
      <c r="A53" s="893" t="s">
        <v>1119</v>
      </c>
      <c r="B53" s="907" t="s">
        <v>1120</v>
      </c>
      <c r="C53" s="895" t="s">
        <v>1088</v>
      </c>
      <c r="D53" s="901">
        <v>0</v>
      </c>
      <c r="E53" s="904">
        <f t="shared" si="40"/>
        <v>0</v>
      </c>
      <c r="F53" s="902">
        <v>56000</v>
      </c>
      <c r="G53" s="899">
        <f t="shared" si="41"/>
        <v>56000</v>
      </c>
      <c r="H53" s="903"/>
      <c r="I53" s="903"/>
      <c r="J53" s="900"/>
      <c r="K53" s="903"/>
      <c r="L53" s="903"/>
      <c r="M53" s="900"/>
      <c r="N53" s="903"/>
      <c r="O53" s="903"/>
      <c r="P53" s="900"/>
      <c r="Q53" s="903"/>
      <c r="R53" s="903"/>
      <c r="S53" s="900"/>
      <c r="T53" s="903"/>
      <c r="U53" s="903"/>
      <c r="V53" s="900"/>
      <c r="W53" s="903"/>
      <c r="X53" s="903">
        <v>56000</v>
      </c>
      <c r="Y53" s="900">
        <f t="shared" si="42"/>
        <v>56000</v>
      </c>
      <c r="Z53" s="903"/>
      <c r="AA53" s="903"/>
      <c r="AB53" s="900">
        <f t="shared" si="43"/>
        <v>0</v>
      </c>
      <c r="AC53" s="903"/>
      <c r="AD53" s="903"/>
      <c r="AE53" s="900">
        <f t="shared" si="44"/>
        <v>0</v>
      </c>
      <c r="AF53" s="903"/>
      <c r="AG53" s="903"/>
      <c r="AH53" s="900">
        <f t="shared" si="45"/>
        <v>0</v>
      </c>
    </row>
    <row r="54" spans="1:34" ht="45" x14ac:dyDescent="0.25">
      <c r="A54" s="893" t="s">
        <v>1121</v>
      </c>
      <c r="B54" s="907" t="s">
        <v>1059</v>
      </c>
      <c r="C54" s="895" t="s">
        <v>1088</v>
      </c>
      <c r="D54" s="901">
        <v>0</v>
      </c>
      <c r="E54" s="904">
        <f t="shared" si="40"/>
        <v>0</v>
      </c>
      <c r="F54" s="902">
        <v>1179974</v>
      </c>
      <c r="G54" s="899">
        <f t="shared" si="41"/>
        <v>1179974</v>
      </c>
      <c r="H54" s="903"/>
      <c r="I54" s="903"/>
      <c r="J54" s="900"/>
      <c r="K54" s="903"/>
      <c r="L54" s="903"/>
      <c r="M54" s="900"/>
      <c r="N54" s="903"/>
      <c r="O54" s="903"/>
      <c r="P54" s="900"/>
      <c r="Q54" s="903"/>
      <c r="R54" s="903"/>
      <c r="S54" s="900"/>
      <c r="T54" s="903"/>
      <c r="U54" s="903"/>
      <c r="V54" s="900"/>
      <c r="W54" s="903"/>
      <c r="X54" s="903"/>
      <c r="Y54" s="900">
        <f t="shared" si="42"/>
        <v>0</v>
      </c>
      <c r="Z54" s="903">
        <v>54640</v>
      </c>
      <c r="AA54" s="903"/>
      <c r="AB54" s="900">
        <f t="shared" si="43"/>
        <v>54640</v>
      </c>
      <c r="AC54" s="903">
        <v>1125334</v>
      </c>
      <c r="AD54" s="903"/>
      <c r="AE54" s="900">
        <f t="shared" si="44"/>
        <v>1125334</v>
      </c>
      <c r="AF54" s="903"/>
      <c r="AG54" s="903"/>
      <c r="AH54" s="900">
        <f t="shared" si="45"/>
        <v>0</v>
      </c>
    </row>
    <row r="55" spans="1:34" ht="30" x14ac:dyDescent="0.25">
      <c r="A55" s="893" t="s">
        <v>1122</v>
      </c>
      <c r="B55" s="907" t="s">
        <v>1060</v>
      </c>
      <c r="C55" s="895" t="s">
        <v>1088</v>
      </c>
      <c r="D55" s="901">
        <v>0</v>
      </c>
      <c r="E55" s="904">
        <f t="shared" si="40"/>
        <v>0</v>
      </c>
      <c r="F55" s="902">
        <v>1582605</v>
      </c>
      <c r="G55" s="899">
        <f t="shared" si="41"/>
        <v>1582605</v>
      </c>
      <c r="H55" s="903"/>
      <c r="I55" s="903"/>
      <c r="J55" s="900"/>
      <c r="K55" s="903"/>
      <c r="L55" s="903"/>
      <c r="M55" s="900"/>
      <c r="N55" s="903"/>
      <c r="O55" s="903"/>
      <c r="P55" s="900"/>
      <c r="Q55" s="903"/>
      <c r="R55" s="903"/>
      <c r="S55" s="900"/>
      <c r="T55" s="903"/>
      <c r="U55" s="903"/>
      <c r="V55" s="900"/>
      <c r="W55" s="903"/>
      <c r="X55" s="903"/>
      <c r="Y55" s="900">
        <f t="shared" si="42"/>
        <v>0</v>
      </c>
      <c r="Z55" s="903">
        <v>49523</v>
      </c>
      <c r="AA55" s="903"/>
      <c r="AB55" s="900">
        <f t="shared" si="43"/>
        <v>49523</v>
      </c>
      <c r="AC55" s="903">
        <v>1533082</v>
      </c>
      <c r="AD55" s="903"/>
      <c r="AE55" s="900">
        <f t="shared" si="44"/>
        <v>1533082</v>
      </c>
      <c r="AF55" s="903"/>
      <c r="AG55" s="903"/>
      <c r="AH55" s="900">
        <f t="shared" si="45"/>
        <v>0</v>
      </c>
    </row>
    <row r="56" spans="1:34" ht="30" x14ac:dyDescent="0.25">
      <c r="A56" s="893" t="s">
        <v>1123</v>
      </c>
      <c r="B56" s="907" t="s">
        <v>1063</v>
      </c>
      <c r="C56" s="895" t="s">
        <v>1088</v>
      </c>
      <c r="D56" s="901">
        <v>0</v>
      </c>
      <c r="E56" s="904">
        <f t="shared" si="40"/>
        <v>0</v>
      </c>
      <c r="F56" s="902">
        <v>5026</v>
      </c>
      <c r="G56" s="899">
        <f t="shared" si="41"/>
        <v>5026</v>
      </c>
      <c r="H56" s="903"/>
      <c r="I56" s="903"/>
      <c r="J56" s="900"/>
      <c r="K56" s="903"/>
      <c r="L56" s="903"/>
      <c r="M56" s="900"/>
      <c r="N56" s="903"/>
      <c r="O56" s="903"/>
      <c r="P56" s="900"/>
      <c r="Q56" s="903"/>
      <c r="R56" s="903"/>
      <c r="S56" s="900"/>
      <c r="T56" s="903"/>
      <c r="U56" s="903"/>
      <c r="V56" s="900"/>
      <c r="W56" s="903"/>
      <c r="X56" s="903"/>
      <c r="Y56" s="900">
        <f t="shared" si="42"/>
        <v>0</v>
      </c>
      <c r="Z56" s="903">
        <v>5026</v>
      </c>
      <c r="AA56" s="903"/>
      <c r="AB56" s="900">
        <f t="shared" si="43"/>
        <v>5026</v>
      </c>
      <c r="AC56" s="903"/>
      <c r="AD56" s="903"/>
      <c r="AE56" s="900">
        <f t="shared" si="44"/>
        <v>0</v>
      </c>
      <c r="AF56" s="903"/>
      <c r="AG56" s="903"/>
      <c r="AH56" s="900">
        <f t="shared" si="45"/>
        <v>0</v>
      </c>
    </row>
    <row r="57" spans="1:34" ht="25.5" customHeight="1" thickBot="1" x14ac:dyDescent="0.3">
      <c r="A57" s="893" t="s">
        <v>1124</v>
      </c>
      <c r="B57" s="907" t="s">
        <v>1125</v>
      </c>
      <c r="C57" s="895" t="s">
        <v>1088</v>
      </c>
      <c r="D57" s="901">
        <v>0</v>
      </c>
      <c r="E57" s="904">
        <f t="shared" si="40"/>
        <v>0</v>
      </c>
      <c r="F57" s="902">
        <v>1150000</v>
      </c>
      <c r="G57" s="899">
        <f t="shared" si="41"/>
        <v>1150000</v>
      </c>
      <c r="H57" s="903"/>
      <c r="I57" s="903"/>
      <c r="J57" s="900">
        <f>SUM(H57:I57)</f>
        <v>0</v>
      </c>
      <c r="K57" s="903"/>
      <c r="L57" s="903"/>
      <c r="M57" s="900">
        <f>SUM(K57:L57)</f>
        <v>0</v>
      </c>
      <c r="N57" s="903"/>
      <c r="O57" s="903"/>
      <c r="P57" s="900">
        <f>SUM(N57:O57)</f>
        <v>0</v>
      </c>
      <c r="Q57" s="903"/>
      <c r="R57" s="903"/>
      <c r="S57" s="900">
        <f>SUM(Q57:R57)</f>
        <v>0</v>
      </c>
      <c r="T57" s="903">
        <v>0</v>
      </c>
      <c r="U57" s="903"/>
      <c r="V57" s="900">
        <f>SUM(T57:U57)</f>
        <v>0</v>
      </c>
      <c r="W57" s="903"/>
      <c r="X57" s="903"/>
      <c r="Y57" s="900">
        <f t="shared" si="42"/>
        <v>0</v>
      </c>
      <c r="Z57" s="903">
        <v>580605</v>
      </c>
      <c r="AA57" s="903"/>
      <c r="AB57" s="900">
        <f t="shared" si="43"/>
        <v>580605</v>
      </c>
      <c r="AC57" s="903">
        <v>569395</v>
      </c>
      <c r="AD57" s="903"/>
      <c r="AE57" s="900">
        <f t="shared" si="44"/>
        <v>569395</v>
      </c>
      <c r="AF57" s="903"/>
      <c r="AG57" s="903"/>
      <c r="AH57" s="900">
        <f>SUM(AF57:AG57)</f>
        <v>0</v>
      </c>
    </row>
    <row r="58" spans="1:34" s="881" customFormat="1" thickBot="1" x14ac:dyDescent="0.25">
      <c r="A58" s="908"/>
      <c r="B58" s="909" t="s">
        <v>487</v>
      </c>
      <c r="C58" s="909"/>
      <c r="D58" s="910"/>
      <c r="E58" s="911"/>
      <c r="F58" s="912">
        <f>SUM(F8:F57)</f>
        <v>68416450.028999999</v>
      </c>
      <c r="G58" s="913"/>
      <c r="H58" s="913">
        <f t="shared" ref="H58:AH58" si="46">SUM(H8:H57)</f>
        <v>0</v>
      </c>
      <c r="I58" s="913">
        <f t="shared" si="46"/>
        <v>417000</v>
      </c>
      <c r="J58" s="913">
        <f t="shared" si="46"/>
        <v>417000</v>
      </c>
      <c r="K58" s="913">
        <f t="shared" si="46"/>
        <v>700549</v>
      </c>
      <c r="L58" s="913">
        <f t="shared" si="46"/>
        <v>8253631</v>
      </c>
      <c r="M58" s="913">
        <f t="shared" si="46"/>
        <v>8954180</v>
      </c>
      <c r="N58" s="913">
        <f t="shared" si="46"/>
        <v>362440</v>
      </c>
      <c r="O58" s="913">
        <f t="shared" si="46"/>
        <v>9972675</v>
      </c>
      <c r="P58" s="913">
        <f t="shared" si="46"/>
        <v>10335115</v>
      </c>
      <c r="Q58" s="913">
        <f t="shared" si="46"/>
        <v>1049955</v>
      </c>
      <c r="R58" s="913">
        <f t="shared" si="46"/>
        <v>7365128</v>
      </c>
      <c r="S58" s="913">
        <f t="shared" si="46"/>
        <v>8415083</v>
      </c>
      <c r="T58" s="913">
        <f t="shared" si="46"/>
        <v>1555504</v>
      </c>
      <c r="U58" s="913">
        <f t="shared" si="46"/>
        <v>7399735</v>
      </c>
      <c r="V58" s="913">
        <f t="shared" si="46"/>
        <v>8955239</v>
      </c>
      <c r="W58" s="913">
        <f t="shared" si="46"/>
        <v>2068246.588</v>
      </c>
      <c r="X58" s="913">
        <f t="shared" si="46"/>
        <v>6544546</v>
      </c>
      <c r="Y58" s="913">
        <f t="shared" si="46"/>
        <v>8612792.5879999995</v>
      </c>
      <c r="Z58" s="913">
        <f t="shared" si="46"/>
        <v>5688997</v>
      </c>
      <c r="AA58" s="913">
        <f t="shared" si="46"/>
        <v>8913313</v>
      </c>
      <c r="AB58" s="913">
        <f t="shared" si="46"/>
        <v>14602310</v>
      </c>
      <c r="AC58" s="913">
        <f t="shared" si="46"/>
        <v>6713796</v>
      </c>
      <c r="AD58" s="913">
        <f t="shared" si="46"/>
        <v>0</v>
      </c>
      <c r="AE58" s="913">
        <f t="shared" si="46"/>
        <v>6713796</v>
      </c>
      <c r="AF58" s="913">
        <f t="shared" si="46"/>
        <v>1144212</v>
      </c>
      <c r="AG58" s="913">
        <f t="shared" si="46"/>
        <v>0</v>
      </c>
      <c r="AH58" s="913">
        <f t="shared" si="46"/>
        <v>1144212</v>
      </c>
    </row>
    <row r="59" spans="1:34" s="881" customFormat="1" ht="14.25" x14ac:dyDescent="0.2">
      <c r="B59" s="892"/>
      <c r="C59" s="892"/>
      <c r="D59" s="892"/>
      <c r="E59" s="892"/>
      <c r="F59" s="914"/>
      <c r="G59" s="914"/>
      <c r="H59" s="914"/>
      <c r="I59" s="914"/>
      <c r="J59" s="914"/>
      <c r="K59" s="914"/>
      <c r="L59" s="914"/>
      <c r="M59" s="914"/>
      <c r="N59" s="914"/>
      <c r="O59" s="914"/>
      <c r="P59" s="914"/>
      <c r="Q59" s="914"/>
      <c r="R59" s="914"/>
      <c r="S59" s="914"/>
      <c r="T59" s="914"/>
      <c r="U59" s="914"/>
      <c r="V59" s="914"/>
      <c r="W59" s="914"/>
      <c r="X59" s="914"/>
      <c r="Y59" s="914"/>
      <c r="Z59" s="914"/>
      <c r="AA59" s="914"/>
      <c r="AB59" s="914"/>
      <c r="AC59" s="914"/>
      <c r="AD59" s="914"/>
      <c r="AE59" s="914"/>
      <c r="AF59" s="914"/>
      <c r="AG59" s="914"/>
      <c r="AH59" s="914"/>
    </row>
    <row r="60" spans="1:34" x14ac:dyDescent="0.25">
      <c r="A60" s="1025" t="s">
        <v>1126</v>
      </c>
      <c r="B60" s="1025"/>
      <c r="C60" s="915"/>
      <c r="D60" s="915"/>
      <c r="E60" s="915"/>
      <c r="F60" s="877"/>
      <c r="G60" s="877"/>
      <c r="H60" s="877"/>
      <c r="I60" s="877"/>
      <c r="J60" s="877"/>
      <c r="K60" s="877"/>
      <c r="L60" s="877"/>
      <c r="M60" s="877"/>
      <c r="N60" s="877"/>
      <c r="O60" s="877"/>
      <c r="P60" s="877"/>
      <c r="Q60" s="877"/>
      <c r="R60" s="877"/>
      <c r="S60" s="877"/>
      <c r="T60" s="877"/>
      <c r="U60" s="877"/>
      <c r="V60" s="916"/>
      <c r="W60" s="877"/>
      <c r="X60" s="877"/>
      <c r="Y60" s="877"/>
      <c r="Z60" s="877"/>
      <c r="AA60" s="877"/>
      <c r="AC60" s="877"/>
      <c r="AD60" s="877"/>
      <c r="AE60" s="877"/>
      <c r="AF60" s="877"/>
      <c r="AG60" s="877"/>
      <c r="AH60" s="877"/>
    </row>
    <row r="61" spans="1:34" x14ac:dyDescent="0.25">
      <c r="B61" s="917"/>
      <c r="F61" s="877"/>
      <c r="G61" s="877"/>
      <c r="H61" s="877"/>
      <c r="I61" s="877"/>
      <c r="J61" s="877"/>
      <c r="K61" s="877"/>
      <c r="L61" s="877"/>
      <c r="M61" s="877"/>
      <c r="N61" s="877"/>
      <c r="O61" s="877"/>
      <c r="P61" s="877"/>
      <c r="Q61" s="877"/>
      <c r="R61" s="877"/>
      <c r="S61" s="877"/>
      <c r="T61" s="877"/>
      <c r="U61" s="877"/>
      <c r="V61" s="877"/>
      <c r="W61" s="877"/>
      <c r="X61" s="877"/>
      <c r="Y61" s="877"/>
      <c r="Z61" s="877"/>
      <c r="AA61" s="877"/>
      <c r="AB61" s="877"/>
      <c r="AC61" s="877"/>
      <c r="AD61" s="877"/>
      <c r="AE61" s="877"/>
      <c r="AF61" s="877"/>
      <c r="AG61" s="877"/>
      <c r="AH61" s="877"/>
    </row>
    <row r="62" spans="1:34" x14ac:dyDescent="0.25">
      <c r="AB62" s="918"/>
    </row>
  </sheetData>
  <mergeCells count="14">
    <mergeCell ref="AF6:AH6"/>
    <mergeCell ref="A60:B60"/>
    <mergeCell ref="N6:P6"/>
    <mergeCell ref="Q6:S6"/>
    <mergeCell ref="T6:V6"/>
    <mergeCell ref="W6:Y6"/>
    <mergeCell ref="Z6:AB6"/>
    <mergeCell ref="AC6:AE6"/>
    <mergeCell ref="A6:A7"/>
    <mergeCell ref="B6:B7"/>
    <mergeCell ref="C6:C7"/>
    <mergeCell ref="F6:F7"/>
    <mergeCell ref="H6:J6"/>
    <mergeCell ref="K6:M6"/>
  </mergeCells>
  <printOptions horizontalCentered="1"/>
  <pageMargins left="0.19685039370078741" right="0.15748031496062992" top="0.82677165354330717" bottom="0.35433070866141736" header="0.35433070866141736" footer="0.15748031496062992"/>
  <pageSetup paperSize="9" scale="56" fitToWidth="2" fitToHeight="0" orientation="landscape" r:id="rId1"/>
  <headerFooter alignWithMargins="0">
    <oddHeader>&amp;C&amp;"Times New Roman,Félkövér dőlt"
&amp;"Times New Roman,Félkövér"Európai uniós és hazai forrásból megvalósuló projektek 
támogatástartalmának bemutatása 2015-2023. évekre (eFt-ban)</oddHeader>
  </headerFooter>
  <colBreaks count="1" manualBreakCount="1">
    <brk id="22" max="59"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5EF66-2BA8-47D5-BC9C-E516387875FD}">
  <sheetPr>
    <pageSetUpPr fitToPage="1"/>
  </sheetPr>
  <dimension ref="A1:E2108"/>
  <sheetViews>
    <sheetView zoomScaleNormal="100" workbookViewId="0">
      <selection activeCell="E5" sqref="E5"/>
    </sheetView>
  </sheetViews>
  <sheetFormatPr defaultRowHeight="15" x14ac:dyDescent="0.25"/>
  <cols>
    <col min="1" max="1" width="33" style="1047" customWidth="1"/>
    <col min="2" max="5" width="10.5" style="1048" customWidth="1"/>
    <col min="6" max="254" width="9" style="919"/>
    <col min="255" max="255" width="31.875" style="919" customWidth="1"/>
    <col min="256" max="259" width="10.5" style="919" customWidth="1"/>
    <col min="260" max="510" width="9" style="919"/>
    <col min="511" max="511" width="31.875" style="919" customWidth="1"/>
    <col min="512" max="515" width="10.5" style="919" customWidth="1"/>
    <col min="516" max="766" width="9" style="919"/>
    <col min="767" max="767" width="31.875" style="919" customWidth="1"/>
    <col min="768" max="771" width="10.5" style="919" customWidth="1"/>
    <col min="772" max="1022" width="9" style="919"/>
    <col min="1023" max="1023" width="31.875" style="919" customWidth="1"/>
    <col min="1024" max="1027" width="10.5" style="919" customWidth="1"/>
    <col min="1028" max="1278" width="9" style="919"/>
    <col min="1279" max="1279" width="31.875" style="919" customWidth="1"/>
    <col min="1280" max="1283" width="10.5" style="919" customWidth="1"/>
    <col min="1284" max="1534" width="9" style="919"/>
    <col min="1535" max="1535" width="31.875" style="919" customWidth="1"/>
    <col min="1536" max="1539" width="10.5" style="919" customWidth="1"/>
    <col min="1540" max="1790" width="9" style="919"/>
    <col min="1791" max="1791" width="31.875" style="919" customWidth="1"/>
    <col min="1792" max="1795" width="10.5" style="919" customWidth="1"/>
    <col min="1796" max="2046" width="9" style="919"/>
    <col min="2047" max="2047" width="31.875" style="919" customWidth="1"/>
    <col min="2048" max="2051" width="10.5" style="919" customWidth="1"/>
    <col min="2052" max="2302" width="9" style="919"/>
    <col min="2303" max="2303" width="31.875" style="919" customWidth="1"/>
    <col min="2304" max="2307" width="10.5" style="919" customWidth="1"/>
    <col min="2308" max="2558" width="9" style="919"/>
    <col min="2559" max="2559" width="31.875" style="919" customWidth="1"/>
    <col min="2560" max="2563" width="10.5" style="919" customWidth="1"/>
    <col min="2564" max="2814" width="9" style="919"/>
    <col min="2815" max="2815" width="31.875" style="919" customWidth="1"/>
    <col min="2816" max="2819" width="10.5" style="919" customWidth="1"/>
    <col min="2820" max="3070" width="9" style="919"/>
    <col min="3071" max="3071" width="31.875" style="919" customWidth="1"/>
    <col min="3072" max="3075" width="10.5" style="919" customWidth="1"/>
    <col min="3076" max="3326" width="9" style="919"/>
    <col min="3327" max="3327" width="31.875" style="919" customWidth="1"/>
    <col min="3328" max="3331" width="10.5" style="919" customWidth="1"/>
    <col min="3332" max="3582" width="9" style="919"/>
    <col min="3583" max="3583" width="31.875" style="919" customWidth="1"/>
    <col min="3584" max="3587" width="10.5" style="919" customWidth="1"/>
    <col min="3588" max="3838" width="9" style="919"/>
    <col min="3839" max="3839" width="31.875" style="919" customWidth="1"/>
    <col min="3840" max="3843" width="10.5" style="919" customWidth="1"/>
    <col min="3844" max="4094" width="9" style="919"/>
    <col min="4095" max="4095" width="31.875" style="919" customWidth="1"/>
    <col min="4096" max="4099" width="10.5" style="919" customWidth="1"/>
    <col min="4100" max="4350" width="9" style="919"/>
    <col min="4351" max="4351" width="31.875" style="919" customWidth="1"/>
    <col min="4352" max="4355" width="10.5" style="919" customWidth="1"/>
    <col min="4356" max="4606" width="9" style="919"/>
    <col min="4607" max="4607" width="31.875" style="919" customWidth="1"/>
    <col min="4608" max="4611" width="10.5" style="919" customWidth="1"/>
    <col min="4612" max="4862" width="9" style="919"/>
    <col min="4863" max="4863" width="31.875" style="919" customWidth="1"/>
    <col min="4864" max="4867" width="10.5" style="919" customWidth="1"/>
    <col min="4868" max="5118" width="9" style="919"/>
    <col min="5119" max="5119" width="31.875" style="919" customWidth="1"/>
    <col min="5120" max="5123" width="10.5" style="919" customWidth="1"/>
    <col min="5124" max="5374" width="9" style="919"/>
    <col min="5375" max="5375" width="31.875" style="919" customWidth="1"/>
    <col min="5376" max="5379" width="10.5" style="919" customWidth="1"/>
    <col min="5380" max="5630" width="9" style="919"/>
    <col min="5631" max="5631" width="31.875" style="919" customWidth="1"/>
    <col min="5632" max="5635" width="10.5" style="919" customWidth="1"/>
    <col min="5636" max="5886" width="9" style="919"/>
    <col min="5887" max="5887" width="31.875" style="919" customWidth="1"/>
    <col min="5888" max="5891" width="10.5" style="919" customWidth="1"/>
    <col min="5892" max="6142" width="9" style="919"/>
    <col min="6143" max="6143" width="31.875" style="919" customWidth="1"/>
    <col min="6144" max="6147" width="10.5" style="919" customWidth="1"/>
    <col min="6148" max="6398" width="9" style="919"/>
    <col min="6399" max="6399" width="31.875" style="919" customWidth="1"/>
    <col min="6400" max="6403" width="10.5" style="919" customWidth="1"/>
    <col min="6404" max="6654" width="9" style="919"/>
    <col min="6655" max="6655" width="31.875" style="919" customWidth="1"/>
    <col min="6656" max="6659" width="10.5" style="919" customWidth="1"/>
    <col min="6660" max="6910" width="9" style="919"/>
    <col min="6911" max="6911" width="31.875" style="919" customWidth="1"/>
    <col min="6912" max="6915" width="10.5" style="919" customWidth="1"/>
    <col min="6916" max="7166" width="9" style="919"/>
    <col min="7167" max="7167" width="31.875" style="919" customWidth="1"/>
    <col min="7168" max="7171" width="10.5" style="919" customWidth="1"/>
    <col min="7172" max="7422" width="9" style="919"/>
    <col min="7423" max="7423" width="31.875" style="919" customWidth="1"/>
    <col min="7424" max="7427" width="10.5" style="919" customWidth="1"/>
    <col min="7428" max="7678" width="9" style="919"/>
    <col min="7679" max="7679" width="31.875" style="919" customWidth="1"/>
    <col min="7680" max="7683" width="10.5" style="919" customWidth="1"/>
    <col min="7684" max="7934" width="9" style="919"/>
    <col min="7935" max="7935" width="31.875" style="919" customWidth="1"/>
    <col min="7936" max="7939" width="10.5" style="919" customWidth="1"/>
    <col min="7940" max="8190" width="9" style="919"/>
    <col min="8191" max="8191" width="31.875" style="919" customWidth="1"/>
    <col min="8192" max="8195" width="10.5" style="919" customWidth="1"/>
    <col min="8196" max="8446" width="9" style="919"/>
    <col min="8447" max="8447" width="31.875" style="919" customWidth="1"/>
    <col min="8448" max="8451" width="10.5" style="919" customWidth="1"/>
    <col min="8452" max="8702" width="9" style="919"/>
    <col min="8703" max="8703" width="31.875" style="919" customWidth="1"/>
    <col min="8704" max="8707" width="10.5" style="919" customWidth="1"/>
    <col min="8708" max="8958" width="9" style="919"/>
    <col min="8959" max="8959" width="31.875" style="919" customWidth="1"/>
    <col min="8960" max="8963" width="10.5" style="919" customWidth="1"/>
    <col min="8964" max="9214" width="9" style="919"/>
    <col min="9215" max="9215" width="31.875" style="919" customWidth="1"/>
    <col min="9216" max="9219" width="10.5" style="919" customWidth="1"/>
    <col min="9220" max="9470" width="9" style="919"/>
    <col min="9471" max="9471" width="31.875" style="919" customWidth="1"/>
    <col min="9472" max="9475" width="10.5" style="919" customWidth="1"/>
    <col min="9476" max="9726" width="9" style="919"/>
    <col min="9727" max="9727" width="31.875" style="919" customWidth="1"/>
    <col min="9728" max="9731" width="10.5" style="919" customWidth="1"/>
    <col min="9732" max="9982" width="9" style="919"/>
    <col min="9983" max="9983" width="31.875" style="919" customWidth="1"/>
    <col min="9984" max="9987" width="10.5" style="919" customWidth="1"/>
    <col min="9988" max="10238" width="9" style="919"/>
    <col min="10239" max="10239" width="31.875" style="919" customWidth="1"/>
    <col min="10240" max="10243" width="10.5" style="919" customWidth="1"/>
    <col min="10244" max="10494" width="9" style="919"/>
    <col min="10495" max="10495" width="31.875" style="919" customWidth="1"/>
    <col min="10496" max="10499" width="10.5" style="919" customWidth="1"/>
    <col min="10500" max="10750" width="9" style="919"/>
    <col min="10751" max="10751" width="31.875" style="919" customWidth="1"/>
    <col min="10752" max="10755" width="10.5" style="919" customWidth="1"/>
    <col min="10756" max="11006" width="9" style="919"/>
    <col min="11007" max="11007" width="31.875" style="919" customWidth="1"/>
    <col min="11008" max="11011" width="10.5" style="919" customWidth="1"/>
    <col min="11012" max="11262" width="9" style="919"/>
    <col min="11263" max="11263" width="31.875" style="919" customWidth="1"/>
    <col min="11264" max="11267" width="10.5" style="919" customWidth="1"/>
    <col min="11268" max="11518" width="9" style="919"/>
    <col min="11519" max="11519" width="31.875" style="919" customWidth="1"/>
    <col min="11520" max="11523" width="10.5" style="919" customWidth="1"/>
    <col min="11524" max="11774" width="9" style="919"/>
    <col min="11775" max="11775" width="31.875" style="919" customWidth="1"/>
    <col min="11776" max="11779" width="10.5" style="919" customWidth="1"/>
    <col min="11780" max="12030" width="9" style="919"/>
    <col min="12031" max="12031" width="31.875" style="919" customWidth="1"/>
    <col min="12032" max="12035" width="10.5" style="919" customWidth="1"/>
    <col min="12036" max="12286" width="9" style="919"/>
    <col min="12287" max="12287" width="31.875" style="919" customWidth="1"/>
    <col min="12288" max="12291" width="10.5" style="919" customWidth="1"/>
    <col min="12292" max="12542" width="9" style="919"/>
    <col min="12543" max="12543" width="31.875" style="919" customWidth="1"/>
    <col min="12544" max="12547" width="10.5" style="919" customWidth="1"/>
    <col min="12548" max="12798" width="9" style="919"/>
    <col min="12799" max="12799" width="31.875" style="919" customWidth="1"/>
    <col min="12800" max="12803" width="10.5" style="919" customWidth="1"/>
    <col min="12804" max="13054" width="9" style="919"/>
    <col min="13055" max="13055" width="31.875" style="919" customWidth="1"/>
    <col min="13056" max="13059" width="10.5" style="919" customWidth="1"/>
    <col min="13060" max="13310" width="9" style="919"/>
    <col min="13311" max="13311" width="31.875" style="919" customWidth="1"/>
    <col min="13312" max="13315" width="10.5" style="919" customWidth="1"/>
    <col min="13316" max="13566" width="9" style="919"/>
    <col min="13567" max="13567" width="31.875" style="919" customWidth="1"/>
    <col min="13568" max="13571" width="10.5" style="919" customWidth="1"/>
    <col min="13572" max="13822" width="9" style="919"/>
    <col min="13823" max="13823" width="31.875" style="919" customWidth="1"/>
    <col min="13824" max="13827" width="10.5" style="919" customWidth="1"/>
    <col min="13828" max="14078" width="9" style="919"/>
    <col min="14079" max="14079" width="31.875" style="919" customWidth="1"/>
    <col min="14080" max="14083" width="10.5" style="919" customWidth="1"/>
    <col min="14084" max="14334" width="9" style="919"/>
    <col min="14335" max="14335" width="31.875" style="919" customWidth="1"/>
    <col min="14336" max="14339" width="10.5" style="919" customWidth="1"/>
    <col min="14340" max="14590" width="9" style="919"/>
    <col min="14591" max="14591" width="31.875" style="919" customWidth="1"/>
    <col min="14592" max="14595" width="10.5" style="919" customWidth="1"/>
    <col min="14596" max="14846" width="9" style="919"/>
    <col min="14847" max="14847" width="31.875" style="919" customWidth="1"/>
    <col min="14848" max="14851" width="10.5" style="919" customWidth="1"/>
    <col min="14852" max="15102" width="9" style="919"/>
    <col min="15103" max="15103" width="31.875" style="919" customWidth="1"/>
    <col min="15104" max="15107" width="10.5" style="919" customWidth="1"/>
    <col min="15108" max="15358" width="9" style="919"/>
    <col min="15359" max="15359" width="31.875" style="919" customWidth="1"/>
    <col min="15360" max="15363" width="10.5" style="919" customWidth="1"/>
    <col min="15364" max="15614" width="9" style="919"/>
    <col min="15615" max="15615" width="31.875" style="919" customWidth="1"/>
    <col min="15616" max="15619" width="10.5" style="919" customWidth="1"/>
    <col min="15620" max="15870" width="9" style="919"/>
    <col min="15871" max="15871" width="31.875" style="919" customWidth="1"/>
    <col min="15872" max="15875" width="10.5" style="919" customWidth="1"/>
    <col min="15876" max="16126" width="9" style="919"/>
    <col min="16127" max="16127" width="31.875" style="919" customWidth="1"/>
    <col min="16128" max="16131" width="10.5" style="919" customWidth="1"/>
    <col min="16132" max="16384" width="9" style="919"/>
  </cols>
  <sheetData>
    <row r="1" spans="1:5" x14ac:dyDescent="0.25">
      <c r="A1" s="1035" t="s">
        <v>1017</v>
      </c>
      <c r="B1" s="1031"/>
      <c r="C1" s="1031"/>
      <c r="D1" s="1031"/>
      <c r="E1" s="1031"/>
    </row>
    <row r="2" spans="1:5" ht="15.75" thickBot="1" x14ac:dyDescent="0.3">
      <c r="A2" s="1031" t="s">
        <v>1018</v>
      </c>
      <c r="B2" s="1031"/>
      <c r="C2" s="1031"/>
      <c r="D2" s="1031"/>
      <c r="E2" s="1031"/>
    </row>
    <row r="3" spans="1:5" ht="30" thickTop="1" thickBot="1" x14ac:dyDescent="0.3">
      <c r="A3" s="924" t="s">
        <v>440</v>
      </c>
      <c r="B3" s="926" t="s">
        <v>1019</v>
      </c>
      <c r="C3" s="926" t="s">
        <v>1020</v>
      </c>
      <c r="D3" s="926" t="s">
        <v>1021</v>
      </c>
      <c r="E3" s="925" t="s">
        <v>1022</v>
      </c>
    </row>
    <row r="4" spans="1:5" ht="15.75" thickTop="1" x14ac:dyDescent="0.25">
      <c r="A4" s="921" t="s">
        <v>410</v>
      </c>
      <c r="B4" s="1036">
        <v>10440</v>
      </c>
      <c r="C4" s="1036">
        <v>1713</v>
      </c>
      <c r="D4" s="1036"/>
      <c r="E4" s="1037"/>
    </row>
    <row r="5" spans="1:5" ht="30.75" thickBot="1" x14ac:dyDescent="0.3">
      <c r="A5" s="920" t="s">
        <v>409</v>
      </c>
      <c r="B5" s="1036">
        <v>3540</v>
      </c>
      <c r="C5" s="1036">
        <v>517</v>
      </c>
      <c r="D5" s="1036">
        <v>10983</v>
      </c>
      <c r="E5" s="1037">
        <v>2965</v>
      </c>
    </row>
    <row r="6" spans="1:5" ht="16.5" thickTop="1" thickBot="1" x14ac:dyDescent="0.3">
      <c r="A6" s="1038" t="s">
        <v>408</v>
      </c>
      <c r="B6" s="1039">
        <f t="shared" ref="B6:E6" si="0">SUM(B4:B5)</f>
        <v>13980</v>
      </c>
      <c r="C6" s="1039">
        <f t="shared" si="0"/>
        <v>2230</v>
      </c>
      <c r="D6" s="1039">
        <f t="shared" si="0"/>
        <v>10983</v>
      </c>
      <c r="E6" s="1040">
        <f t="shared" si="0"/>
        <v>2965</v>
      </c>
    </row>
    <row r="7" spans="1:5" ht="15.75" thickTop="1" x14ac:dyDescent="0.25">
      <c r="A7" s="921" t="s">
        <v>407</v>
      </c>
      <c r="B7" s="1036">
        <v>4342</v>
      </c>
      <c r="C7" s="1036">
        <v>445</v>
      </c>
      <c r="D7" s="1036">
        <v>3203</v>
      </c>
      <c r="E7" s="1037">
        <v>865</v>
      </c>
    </row>
    <row r="8" spans="1:5" x14ac:dyDescent="0.25">
      <c r="A8" s="1041" t="s">
        <v>788</v>
      </c>
      <c r="B8" s="1036">
        <v>2964</v>
      </c>
      <c r="C8" s="1036">
        <v>406</v>
      </c>
      <c r="D8" s="1036">
        <v>3756</v>
      </c>
      <c r="E8" s="1037">
        <v>1014</v>
      </c>
    </row>
    <row r="9" spans="1:5" x14ac:dyDescent="0.25">
      <c r="A9" s="1041" t="s">
        <v>406</v>
      </c>
      <c r="B9" s="1036">
        <v>1940</v>
      </c>
      <c r="C9" s="1036">
        <v>524</v>
      </c>
      <c r="D9" s="1036">
        <v>2841</v>
      </c>
      <c r="E9" s="1037">
        <v>767</v>
      </c>
    </row>
    <row r="10" spans="1:5" x14ac:dyDescent="0.25">
      <c r="A10" s="1041" t="s">
        <v>405</v>
      </c>
      <c r="B10" s="1036">
        <v>1375</v>
      </c>
      <c r="C10" s="1036">
        <v>371</v>
      </c>
      <c r="D10" s="1036">
        <v>1482</v>
      </c>
      <c r="E10" s="1037">
        <v>400</v>
      </c>
    </row>
    <row r="11" spans="1:5" x14ac:dyDescent="0.25">
      <c r="A11" s="1041" t="s">
        <v>783</v>
      </c>
      <c r="B11" s="1036">
        <v>4897</v>
      </c>
      <c r="C11" s="1036">
        <v>504</v>
      </c>
      <c r="D11" s="1036">
        <v>3481</v>
      </c>
      <c r="E11" s="1037">
        <v>940</v>
      </c>
    </row>
    <row r="12" spans="1:5" ht="15.75" thickBot="1" x14ac:dyDescent="0.3">
      <c r="A12" s="1041" t="s">
        <v>1023</v>
      </c>
      <c r="B12" s="1036">
        <v>3301</v>
      </c>
      <c r="C12" s="1036">
        <v>316</v>
      </c>
      <c r="D12" s="1036">
        <v>3280</v>
      </c>
      <c r="E12" s="1037">
        <v>886</v>
      </c>
    </row>
    <row r="13" spans="1:5" ht="16.5" thickTop="1" thickBot="1" x14ac:dyDescent="0.3">
      <c r="A13" s="1038" t="s">
        <v>404</v>
      </c>
      <c r="B13" s="1039">
        <f t="shared" ref="B13:E13" si="1">SUM(B7:B12)</f>
        <v>18819</v>
      </c>
      <c r="C13" s="1039">
        <f t="shared" si="1"/>
        <v>2566</v>
      </c>
      <c r="D13" s="1039">
        <f t="shared" si="1"/>
        <v>18043</v>
      </c>
      <c r="E13" s="1040">
        <f t="shared" si="1"/>
        <v>4872</v>
      </c>
    </row>
    <row r="14" spans="1:5" ht="15.75" thickTop="1" x14ac:dyDescent="0.25">
      <c r="A14" s="1041" t="s">
        <v>403</v>
      </c>
      <c r="B14" s="1036">
        <v>8798</v>
      </c>
      <c r="C14" s="1036">
        <v>943</v>
      </c>
      <c r="D14" s="1036">
        <v>27733</v>
      </c>
      <c r="E14" s="1037">
        <v>7488</v>
      </c>
    </row>
    <row r="15" spans="1:5" x14ac:dyDescent="0.25">
      <c r="A15" s="1041" t="s">
        <v>657</v>
      </c>
      <c r="B15" s="1036">
        <v>7309</v>
      </c>
      <c r="C15" s="1036">
        <v>921</v>
      </c>
      <c r="D15" s="1036">
        <v>26698</v>
      </c>
      <c r="E15" s="1037">
        <v>7208</v>
      </c>
    </row>
    <row r="16" spans="1:5" x14ac:dyDescent="0.25">
      <c r="A16" s="1041" t="s">
        <v>916</v>
      </c>
      <c r="B16" s="1036">
        <v>6586</v>
      </c>
      <c r="C16" s="1036">
        <v>1778</v>
      </c>
      <c r="D16" s="1036">
        <v>43409</v>
      </c>
      <c r="E16" s="1037">
        <v>11720</v>
      </c>
    </row>
    <row r="17" spans="1:5" x14ac:dyDescent="0.25">
      <c r="A17" s="1041" t="s">
        <v>402</v>
      </c>
      <c r="B17" s="1036">
        <v>3565</v>
      </c>
      <c r="C17" s="1036">
        <v>718</v>
      </c>
      <c r="D17" s="1036">
        <v>27992</v>
      </c>
      <c r="E17" s="1037">
        <v>7558</v>
      </c>
    </row>
    <row r="18" spans="1:5" x14ac:dyDescent="0.25">
      <c r="A18" s="1041" t="s">
        <v>401</v>
      </c>
      <c r="B18" s="1036">
        <v>9658</v>
      </c>
      <c r="C18" s="1036">
        <v>1036</v>
      </c>
      <c r="D18" s="1036">
        <v>22079</v>
      </c>
      <c r="E18" s="1037">
        <v>5961</v>
      </c>
    </row>
    <row r="19" spans="1:5" x14ac:dyDescent="0.25">
      <c r="A19" s="1041" t="s">
        <v>400</v>
      </c>
      <c r="B19" s="1036">
        <v>4519</v>
      </c>
      <c r="C19" s="1036">
        <v>1220</v>
      </c>
      <c r="D19" s="1036">
        <v>20867</v>
      </c>
      <c r="E19" s="1037">
        <v>5634</v>
      </c>
    </row>
    <row r="20" spans="1:5" x14ac:dyDescent="0.25">
      <c r="A20" s="1041" t="s">
        <v>399</v>
      </c>
      <c r="B20" s="1036">
        <v>8789</v>
      </c>
      <c r="C20" s="1036">
        <v>1623</v>
      </c>
      <c r="D20" s="1036">
        <v>27343</v>
      </c>
      <c r="E20" s="1037">
        <v>7383</v>
      </c>
    </row>
    <row r="21" spans="1:5" x14ac:dyDescent="0.25">
      <c r="A21" s="1041" t="s">
        <v>444</v>
      </c>
      <c r="B21" s="1036">
        <v>6798</v>
      </c>
      <c r="C21" s="1036">
        <v>729</v>
      </c>
      <c r="D21" s="1036">
        <v>25835</v>
      </c>
      <c r="E21" s="1037">
        <v>6975</v>
      </c>
    </row>
    <row r="22" spans="1:5" x14ac:dyDescent="0.25">
      <c r="A22" s="1041" t="s">
        <v>398</v>
      </c>
      <c r="B22" s="1036">
        <v>791</v>
      </c>
      <c r="C22" s="1036">
        <v>213</v>
      </c>
      <c r="D22" s="1036">
        <v>4430</v>
      </c>
      <c r="E22" s="1037">
        <v>1196</v>
      </c>
    </row>
    <row r="23" spans="1:5" x14ac:dyDescent="0.25">
      <c r="A23" s="1041" t="s">
        <v>445</v>
      </c>
      <c r="B23" s="1036">
        <v>10456</v>
      </c>
      <c r="C23" s="1036">
        <v>1273</v>
      </c>
      <c r="D23" s="1036">
        <v>32791</v>
      </c>
      <c r="E23" s="1037">
        <v>8854</v>
      </c>
    </row>
    <row r="24" spans="1:5" x14ac:dyDescent="0.25">
      <c r="A24" s="1041" t="s">
        <v>397</v>
      </c>
      <c r="B24" s="1036">
        <v>6595</v>
      </c>
      <c r="C24" s="1036">
        <v>974</v>
      </c>
      <c r="D24" s="1036">
        <v>24343</v>
      </c>
      <c r="E24" s="1037">
        <v>6573</v>
      </c>
    </row>
    <row r="25" spans="1:5" ht="15.75" thickBot="1" x14ac:dyDescent="0.3">
      <c r="A25" s="1041" t="s">
        <v>396</v>
      </c>
      <c r="B25" s="1036">
        <v>7267</v>
      </c>
      <c r="C25" s="1036">
        <v>750</v>
      </c>
      <c r="D25" s="1036">
        <v>27073</v>
      </c>
      <c r="E25" s="1037">
        <v>7310</v>
      </c>
    </row>
    <row r="26" spans="1:5" ht="16.5" thickTop="1" thickBot="1" x14ac:dyDescent="0.3">
      <c r="A26" s="1038" t="s">
        <v>395</v>
      </c>
      <c r="B26" s="1039">
        <f t="shared" ref="B26:E26" si="2">SUM(B14:B25)</f>
        <v>81131</v>
      </c>
      <c r="C26" s="1039">
        <f t="shared" si="2"/>
        <v>12178</v>
      </c>
      <c r="D26" s="1039">
        <f t="shared" si="2"/>
        <v>310593</v>
      </c>
      <c r="E26" s="1040">
        <f t="shared" si="2"/>
        <v>83860</v>
      </c>
    </row>
    <row r="27" spans="1:5" ht="16.5" thickTop="1" thickBot="1" x14ac:dyDescent="0.3">
      <c r="A27" s="1038" t="s">
        <v>1024</v>
      </c>
      <c r="B27" s="1039">
        <f t="shared" ref="B27:E27" si="3">SUM(B26+B13+B6)</f>
        <v>113930</v>
      </c>
      <c r="C27" s="1039">
        <f t="shared" si="3"/>
        <v>16974</v>
      </c>
      <c r="D27" s="1039">
        <f t="shared" si="3"/>
        <v>339619</v>
      </c>
      <c r="E27" s="1040">
        <f t="shared" si="3"/>
        <v>91697</v>
      </c>
    </row>
    <row r="28" spans="1:5" ht="15.75" thickTop="1" x14ac:dyDescent="0.25">
      <c r="A28" s="1041" t="s">
        <v>743</v>
      </c>
      <c r="B28" s="1036">
        <v>36624</v>
      </c>
      <c r="C28" s="1036">
        <v>9077</v>
      </c>
      <c r="D28" s="1036">
        <v>174338</v>
      </c>
      <c r="E28" s="1037">
        <v>47071</v>
      </c>
    </row>
    <row r="29" spans="1:5" ht="30" x14ac:dyDescent="0.25">
      <c r="A29" s="1041" t="s">
        <v>789</v>
      </c>
      <c r="B29" s="1036">
        <v>2036</v>
      </c>
      <c r="C29" s="1036">
        <v>315</v>
      </c>
      <c r="D29" s="1036"/>
      <c r="E29" s="1037"/>
    </row>
    <row r="30" spans="1:5" ht="15.75" thickBot="1" x14ac:dyDescent="0.3">
      <c r="A30" s="1041" t="s">
        <v>376</v>
      </c>
      <c r="B30" s="1036">
        <v>16542</v>
      </c>
      <c r="C30" s="1036">
        <v>4192</v>
      </c>
      <c r="D30" s="1036">
        <v>8921</v>
      </c>
      <c r="E30" s="1037">
        <v>2409</v>
      </c>
    </row>
    <row r="31" spans="1:5" ht="16.5" thickTop="1" thickBot="1" x14ac:dyDescent="0.3">
      <c r="A31" s="1038" t="s">
        <v>393</v>
      </c>
      <c r="B31" s="1039">
        <f t="shared" ref="B31:E31" si="4">SUM(B28:B30)</f>
        <v>55202</v>
      </c>
      <c r="C31" s="1039">
        <f t="shared" si="4"/>
        <v>13584</v>
      </c>
      <c r="D31" s="1039">
        <f t="shared" si="4"/>
        <v>183259</v>
      </c>
      <c r="E31" s="1040">
        <f t="shared" si="4"/>
        <v>49480</v>
      </c>
    </row>
    <row r="32" spans="1:5" ht="16.5" thickTop="1" thickBot="1" x14ac:dyDescent="0.3">
      <c r="A32" s="1038" t="s">
        <v>392</v>
      </c>
      <c r="B32" s="1039">
        <v>35699</v>
      </c>
      <c r="C32" s="1039">
        <v>0</v>
      </c>
      <c r="D32" s="1039">
        <v>655277</v>
      </c>
      <c r="E32" s="1040">
        <v>176925</v>
      </c>
    </row>
    <row r="33" spans="1:5" ht="15.75" thickTop="1" x14ac:dyDescent="0.25">
      <c r="A33" s="1041" t="s">
        <v>391</v>
      </c>
      <c r="B33" s="1036">
        <v>2557</v>
      </c>
      <c r="C33" s="1036">
        <v>246</v>
      </c>
      <c r="D33" s="1036"/>
      <c r="E33" s="1037"/>
    </row>
    <row r="34" spans="1:5" x14ac:dyDescent="0.25">
      <c r="A34" s="1041" t="s">
        <v>390</v>
      </c>
      <c r="B34" s="1036">
        <v>14881</v>
      </c>
      <c r="C34" s="1036">
        <v>1873</v>
      </c>
      <c r="D34" s="1036"/>
      <c r="E34" s="1037"/>
    </row>
    <row r="35" spans="1:5" x14ac:dyDescent="0.25">
      <c r="A35" s="1041" t="s">
        <v>389</v>
      </c>
      <c r="B35" s="1036">
        <v>32394</v>
      </c>
      <c r="C35" s="1036">
        <v>5729</v>
      </c>
      <c r="D35" s="1036"/>
      <c r="E35" s="1037"/>
    </row>
    <row r="36" spans="1:5" x14ac:dyDescent="0.25">
      <c r="A36" s="1042" t="s">
        <v>568</v>
      </c>
      <c r="B36" s="1036">
        <v>1187</v>
      </c>
      <c r="C36" s="1036">
        <v>320</v>
      </c>
      <c r="D36" s="1036"/>
      <c r="E36" s="1037"/>
    </row>
    <row r="37" spans="1:5" x14ac:dyDescent="0.25">
      <c r="A37" s="1041" t="s">
        <v>388</v>
      </c>
      <c r="B37" s="1036">
        <v>4423</v>
      </c>
      <c r="C37" s="1036">
        <v>1194</v>
      </c>
      <c r="D37" s="1036"/>
      <c r="E37" s="1037"/>
    </row>
    <row r="38" spans="1:5" x14ac:dyDescent="0.25">
      <c r="A38" s="921" t="s">
        <v>387</v>
      </c>
      <c r="B38" s="1036">
        <v>52195</v>
      </c>
      <c r="C38" s="1036">
        <v>9722</v>
      </c>
      <c r="D38" s="1036"/>
      <c r="E38" s="1037"/>
    </row>
    <row r="39" spans="1:5" x14ac:dyDescent="0.25">
      <c r="A39" s="1041" t="s">
        <v>563</v>
      </c>
      <c r="B39" s="1036">
        <v>461</v>
      </c>
      <c r="C39" s="1036">
        <v>107</v>
      </c>
      <c r="D39" s="1036"/>
      <c r="E39" s="1037"/>
    </row>
    <row r="40" spans="1:5" ht="30.75" thickBot="1" x14ac:dyDescent="0.3">
      <c r="A40" s="1042" t="s">
        <v>1031</v>
      </c>
      <c r="B40" s="1036">
        <v>13840</v>
      </c>
      <c r="C40" s="1036">
        <v>2100</v>
      </c>
      <c r="D40" s="1036"/>
      <c r="E40" s="1037"/>
    </row>
    <row r="41" spans="1:5" ht="16.5" thickTop="1" thickBot="1" x14ac:dyDescent="0.3">
      <c r="A41" s="1043" t="s">
        <v>917</v>
      </c>
      <c r="B41" s="1039">
        <f t="shared" ref="B41:E41" si="5">SUM(B33:B40)</f>
        <v>121938</v>
      </c>
      <c r="C41" s="1039">
        <f t="shared" si="5"/>
        <v>21291</v>
      </c>
      <c r="D41" s="1039">
        <f t="shared" si="5"/>
        <v>0</v>
      </c>
      <c r="E41" s="1040">
        <f t="shared" si="5"/>
        <v>0</v>
      </c>
    </row>
    <row r="42" spans="1:5" ht="16.5" thickTop="1" thickBot="1" x14ac:dyDescent="0.3">
      <c r="A42" s="1044" t="s">
        <v>1025</v>
      </c>
      <c r="B42" s="1045">
        <f t="shared" ref="B42:E42" si="6">SUM(B27+B31+B32+B41)</f>
        <v>326769</v>
      </c>
      <c r="C42" s="1045">
        <f t="shared" si="6"/>
        <v>51849</v>
      </c>
      <c r="D42" s="1045">
        <f t="shared" si="6"/>
        <v>1178155</v>
      </c>
      <c r="E42" s="1046">
        <f t="shared" si="6"/>
        <v>318102</v>
      </c>
    </row>
    <row r="43" spans="1:5" ht="15.75" thickBot="1" x14ac:dyDescent="0.3">
      <c r="A43" s="1041" t="s">
        <v>382</v>
      </c>
      <c r="B43" s="1036">
        <v>28880</v>
      </c>
      <c r="C43" s="1036">
        <v>3316</v>
      </c>
      <c r="D43" s="1036"/>
      <c r="E43" s="1037"/>
    </row>
    <row r="44" spans="1:5" ht="16.5" thickTop="1" thickBot="1" x14ac:dyDescent="0.3">
      <c r="A44" s="1044" t="s">
        <v>1026</v>
      </c>
      <c r="B44" s="1045">
        <f t="shared" ref="B44:E44" si="7">B43+B42</f>
        <v>355649</v>
      </c>
      <c r="C44" s="1045">
        <f t="shared" si="7"/>
        <v>55165</v>
      </c>
      <c r="D44" s="1045">
        <f t="shared" si="7"/>
        <v>1178155</v>
      </c>
      <c r="E44" s="1046">
        <f t="shared" si="7"/>
        <v>318102</v>
      </c>
    </row>
    <row r="45" spans="1:5" x14ac:dyDescent="0.25">
      <c r="A45" s="922"/>
      <c r="B45" s="923"/>
      <c r="C45" s="923"/>
      <c r="D45" s="923"/>
      <c r="E45" s="923"/>
    </row>
    <row r="46" spans="1:5" x14ac:dyDescent="0.25">
      <c r="A46" s="922"/>
      <c r="B46" s="923"/>
      <c r="C46" s="923"/>
      <c r="D46" s="923"/>
      <c r="E46" s="923"/>
    </row>
    <row r="47" spans="1:5" x14ac:dyDescent="0.25">
      <c r="A47" s="922"/>
      <c r="B47" s="923"/>
      <c r="C47" s="923"/>
      <c r="D47" s="923"/>
      <c r="E47" s="923"/>
    </row>
    <row r="48" spans="1:5" x14ac:dyDescent="0.25">
      <c r="A48" s="922"/>
      <c r="B48" s="923"/>
      <c r="C48" s="923"/>
      <c r="D48" s="923"/>
      <c r="E48" s="923"/>
    </row>
    <row r="49" spans="1:5" x14ac:dyDescent="0.25">
      <c r="A49" s="922"/>
      <c r="B49" s="923"/>
      <c r="C49" s="923"/>
      <c r="D49" s="923"/>
      <c r="E49" s="923"/>
    </row>
    <row r="50" spans="1:5" x14ac:dyDescent="0.25">
      <c r="A50" s="922"/>
      <c r="B50" s="923"/>
      <c r="C50" s="923"/>
      <c r="D50" s="923"/>
      <c r="E50" s="923"/>
    </row>
    <row r="51" spans="1:5" x14ac:dyDescent="0.25">
      <c r="A51" s="922"/>
      <c r="B51" s="923"/>
      <c r="C51" s="923"/>
      <c r="D51" s="923"/>
      <c r="E51" s="923"/>
    </row>
    <row r="52" spans="1:5" x14ac:dyDescent="0.25">
      <c r="A52" s="922"/>
      <c r="B52" s="923"/>
      <c r="C52" s="923"/>
      <c r="D52" s="923"/>
      <c r="E52" s="923"/>
    </row>
    <row r="53" spans="1:5" x14ac:dyDescent="0.25">
      <c r="A53" s="922"/>
      <c r="B53" s="923"/>
      <c r="C53" s="923"/>
      <c r="D53" s="923"/>
      <c r="E53" s="923"/>
    </row>
    <row r="54" spans="1:5" x14ac:dyDescent="0.25">
      <c r="A54" s="922"/>
      <c r="B54" s="923"/>
      <c r="C54" s="923"/>
      <c r="D54" s="923"/>
      <c r="E54" s="923"/>
    </row>
    <row r="55" spans="1:5" x14ac:dyDescent="0.25">
      <c r="A55" s="922"/>
      <c r="B55" s="923"/>
      <c r="C55" s="923"/>
      <c r="D55" s="923"/>
      <c r="E55" s="923"/>
    </row>
    <row r="56" spans="1:5" x14ac:dyDescent="0.25">
      <c r="A56" s="922"/>
      <c r="B56" s="923"/>
      <c r="C56" s="923"/>
      <c r="D56" s="923"/>
      <c r="E56" s="923"/>
    </row>
    <row r="57" spans="1:5" x14ac:dyDescent="0.25">
      <c r="A57" s="922"/>
      <c r="B57" s="923"/>
      <c r="C57" s="923"/>
      <c r="D57" s="923"/>
      <c r="E57" s="923"/>
    </row>
    <row r="58" spans="1:5" x14ac:dyDescent="0.25">
      <c r="A58" s="922"/>
      <c r="B58" s="923"/>
      <c r="C58" s="923"/>
      <c r="D58" s="923"/>
      <c r="E58" s="923"/>
    </row>
    <row r="59" spans="1:5" x14ac:dyDescent="0.25">
      <c r="A59" s="922"/>
      <c r="B59" s="923"/>
      <c r="C59" s="923"/>
      <c r="D59" s="923"/>
      <c r="E59" s="923"/>
    </row>
    <row r="60" spans="1:5" x14ac:dyDescent="0.25">
      <c r="A60" s="922"/>
      <c r="B60" s="923"/>
      <c r="C60" s="923"/>
      <c r="D60" s="923"/>
      <c r="E60" s="923"/>
    </row>
    <row r="61" spans="1:5" x14ac:dyDescent="0.25">
      <c r="A61" s="922"/>
      <c r="B61" s="923"/>
      <c r="C61" s="923"/>
      <c r="D61" s="923"/>
      <c r="E61" s="923"/>
    </row>
    <row r="62" spans="1:5" x14ac:dyDescent="0.25">
      <c r="A62" s="922"/>
      <c r="B62" s="923"/>
      <c r="C62" s="923"/>
      <c r="D62" s="923"/>
      <c r="E62" s="923"/>
    </row>
    <row r="63" spans="1:5" x14ac:dyDescent="0.25">
      <c r="A63" s="922"/>
      <c r="B63" s="923"/>
      <c r="C63" s="923"/>
      <c r="D63" s="923"/>
      <c r="E63" s="923"/>
    </row>
    <row r="64" spans="1:5" x14ac:dyDescent="0.25">
      <c r="A64" s="922"/>
      <c r="B64" s="923"/>
      <c r="C64" s="923"/>
      <c r="D64" s="923"/>
      <c r="E64" s="923"/>
    </row>
    <row r="65" spans="1:5" x14ac:dyDescent="0.25">
      <c r="A65" s="922"/>
      <c r="B65" s="923"/>
      <c r="C65" s="923"/>
      <c r="D65" s="923"/>
      <c r="E65" s="923"/>
    </row>
    <row r="66" spans="1:5" x14ac:dyDescent="0.25">
      <c r="A66" s="922"/>
      <c r="B66" s="923"/>
      <c r="C66" s="923"/>
      <c r="D66" s="923"/>
      <c r="E66" s="923"/>
    </row>
    <row r="67" spans="1:5" x14ac:dyDescent="0.25">
      <c r="A67" s="922"/>
      <c r="B67" s="923"/>
      <c r="C67" s="923"/>
      <c r="D67" s="923"/>
      <c r="E67" s="923"/>
    </row>
    <row r="68" spans="1:5" x14ac:dyDescent="0.25">
      <c r="A68" s="922"/>
      <c r="B68" s="923"/>
      <c r="C68" s="923"/>
      <c r="D68" s="923"/>
      <c r="E68" s="923"/>
    </row>
    <row r="69" spans="1:5" x14ac:dyDescent="0.25">
      <c r="A69" s="922"/>
      <c r="B69" s="923"/>
      <c r="C69" s="923"/>
      <c r="D69" s="923"/>
      <c r="E69" s="923"/>
    </row>
    <row r="70" spans="1:5" x14ac:dyDescent="0.25">
      <c r="A70" s="922"/>
      <c r="B70" s="923"/>
      <c r="C70" s="923"/>
      <c r="D70" s="923"/>
      <c r="E70" s="923"/>
    </row>
    <row r="71" spans="1:5" x14ac:dyDescent="0.25">
      <c r="A71" s="922"/>
      <c r="B71" s="923"/>
      <c r="C71" s="923"/>
      <c r="D71" s="923"/>
      <c r="E71" s="923"/>
    </row>
    <row r="72" spans="1:5" x14ac:dyDescent="0.25">
      <c r="A72" s="922"/>
      <c r="B72" s="923"/>
      <c r="C72" s="923"/>
      <c r="D72" s="923"/>
      <c r="E72" s="923"/>
    </row>
    <row r="73" spans="1:5" x14ac:dyDescent="0.25">
      <c r="A73" s="922"/>
      <c r="B73" s="923"/>
      <c r="C73" s="923"/>
      <c r="D73" s="923"/>
      <c r="E73" s="923"/>
    </row>
    <row r="74" spans="1:5" x14ac:dyDescent="0.25">
      <c r="A74" s="922"/>
      <c r="B74" s="923"/>
      <c r="C74" s="923"/>
      <c r="D74" s="923"/>
      <c r="E74" s="923"/>
    </row>
    <row r="75" spans="1:5" x14ac:dyDescent="0.25">
      <c r="A75" s="922"/>
      <c r="B75" s="923"/>
      <c r="C75" s="923"/>
      <c r="D75" s="923"/>
      <c r="E75" s="923"/>
    </row>
    <row r="76" spans="1:5" x14ac:dyDescent="0.25">
      <c r="A76" s="922"/>
      <c r="B76" s="923"/>
      <c r="C76" s="923"/>
      <c r="D76" s="923"/>
      <c r="E76" s="923"/>
    </row>
    <row r="77" spans="1:5" x14ac:dyDescent="0.25">
      <c r="A77" s="922"/>
      <c r="B77" s="923"/>
      <c r="C77" s="923"/>
      <c r="D77" s="923"/>
      <c r="E77" s="923"/>
    </row>
    <row r="78" spans="1:5" x14ac:dyDescent="0.25">
      <c r="A78" s="922"/>
      <c r="B78" s="923"/>
      <c r="C78" s="923"/>
      <c r="D78" s="923"/>
      <c r="E78" s="923"/>
    </row>
    <row r="79" spans="1:5" x14ac:dyDescent="0.25">
      <c r="A79" s="922"/>
      <c r="B79" s="923"/>
      <c r="C79" s="923"/>
      <c r="D79" s="923"/>
      <c r="E79" s="923"/>
    </row>
    <row r="80" spans="1:5" x14ac:dyDescent="0.25">
      <c r="A80" s="922"/>
      <c r="B80" s="923"/>
      <c r="C80" s="923"/>
      <c r="D80" s="923"/>
      <c r="E80" s="923"/>
    </row>
    <row r="81" spans="1:5" x14ac:dyDescent="0.25">
      <c r="A81" s="922"/>
      <c r="B81" s="923"/>
      <c r="C81" s="923"/>
      <c r="D81" s="923"/>
      <c r="E81" s="923"/>
    </row>
    <row r="82" spans="1:5" x14ac:dyDescent="0.25">
      <c r="A82" s="922"/>
      <c r="B82" s="923"/>
      <c r="C82" s="923"/>
      <c r="D82" s="923"/>
      <c r="E82" s="923"/>
    </row>
    <row r="83" spans="1:5" x14ac:dyDescent="0.25">
      <c r="A83" s="922"/>
      <c r="B83" s="923"/>
      <c r="C83" s="923"/>
      <c r="D83" s="923"/>
      <c r="E83" s="923"/>
    </row>
    <row r="84" spans="1:5" x14ac:dyDescent="0.25">
      <c r="A84" s="922"/>
      <c r="B84" s="923"/>
      <c r="C84" s="923"/>
      <c r="D84" s="923"/>
      <c r="E84" s="923"/>
    </row>
    <row r="85" spans="1:5" x14ac:dyDescent="0.25">
      <c r="A85" s="922"/>
      <c r="B85" s="923"/>
      <c r="C85" s="923"/>
      <c r="D85" s="923"/>
      <c r="E85" s="923"/>
    </row>
    <row r="86" spans="1:5" x14ac:dyDescent="0.25">
      <c r="A86" s="922"/>
      <c r="B86" s="923"/>
      <c r="C86" s="923"/>
      <c r="D86" s="923"/>
      <c r="E86" s="923"/>
    </row>
    <row r="87" spans="1:5" x14ac:dyDescent="0.25">
      <c r="A87" s="922"/>
      <c r="B87" s="923"/>
      <c r="C87" s="923"/>
      <c r="D87" s="923"/>
      <c r="E87" s="923"/>
    </row>
    <row r="88" spans="1:5" x14ac:dyDescent="0.25">
      <c r="A88" s="922"/>
      <c r="B88" s="923"/>
      <c r="C88" s="923"/>
      <c r="D88" s="923"/>
      <c r="E88" s="923"/>
    </row>
    <row r="89" spans="1:5" x14ac:dyDescent="0.25">
      <c r="A89" s="922"/>
      <c r="B89" s="923"/>
      <c r="C89" s="923"/>
      <c r="D89" s="923"/>
      <c r="E89" s="923"/>
    </row>
    <row r="90" spans="1:5" x14ac:dyDescent="0.25">
      <c r="A90" s="922"/>
      <c r="B90" s="923"/>
      <c r="C90" s="923"/>
      <c r="D90" s="923"/>
      <c r="E90" s="923"/>
    </row>
    <row r="91" spans="1:5" x14ac:dyDescent="0.25">
      <c r="A91" s="922"/>
      <c r="B91" s="923"/>
      <c r="C91" s="923"/>
      <c r="D91" s="923"/>
      <c r="E91" s="923"/>
    </row>
    <row r="92" spans="1:5" x14ac:dyDescent="0.25">
      <c r="A92" s="922"/>
      <c r="B92" s="923"/>
      <c r="C92" s="923"/>
      <c r="D92" s="923"/>
      <c r="E92" s="923"/>
    </row>
    <row r="93" spans="1:5" x14ac:dyDescent="0.25">
      <c r="A93" s="922"/>
      <c r="B93" s="923"/>
      <c r="C93" s="923"/>
      <c r="D93" s="923"/>
      <c r="E93" s="923"/>
    </row>
    <row r="94" spans="1:5" x14ac:dyDescent="0.25">
      <c r="A94" s="922"/>
      <c r="B94" s="923"/>
      <c r="C94" s="923"/>
      <c r="D94" s="923"/>
      <c r="E94" s="923"/>
    </row>
    <row r="95" spans="1:5" x14ac:dyDescent="0.25">
      <c r="A95" s="922"/>
      <c r="B95" s="923"/>
      <c r="C95" s="923"/>
      <c r="D95" s="923"/>
      <c r="E95" s="923"/>
    </row>
    <row r="96" spans="1:5" x14ac:dyDescent="0.25">
      <c r="A96" s="922"/>
      <c r="B96" s="923"/>
      <c r="C96" s="923"/>
      <c r="D96" s="923"/>
      <c r="E96" s="923"/>
    </row>
    <row r="97" spans="1:5" x14ac:dyDescent="0.25">
      <c r="A97" s="922"/>
      <c r="B97" s="923"/>
      <c r="C97" s="923"/>
      <c r="D97" s="923"/>
      <c r="E97" s="923"/>
    </row>
    <row r="98" spans="1:5" x14ac:dyDescent="0.25">
      <c r="A98" s="922"/>
      <c r="B98" s="923"/>
      <c r="C98" s="923"/>
      <c r="D98" s="923"/>
      <c r="E98" s="923"/>
    </row>
    <row r="99" spans="1:5" x14ac:dyDescent="0.25">
      <c r="A99" s="922"/>
      <c r="B99" s="923"/>
      <c r="C99" s="923"/>
      <c r="D99" s="923"/>
      <c r="E99" s="923"/>
    </row>
    <row r="100" spans="1:5" x14ac:dyDescent="0.25">
      <c r="A100" s="922"/>
      <c r="B100" s="923"/>
      <c r="C100" s="923"/>
      <c r="D100" s="923"/>
      <c r="E100" s="923"/>
    </row>
    <row r="101" spans="1:5" x14ac:dyDescent="0.25">
      <c r="A101" s="922"/>
      <c r="B101" s="923"/>
      <c r="C101" s="923"/>
      <c r="D101" s="923"/>
      <c r="E101" s="923"/>
    </row>
    <row r="102" spans="1:5" x14ac:dyDescent="0.25">
      <c r="A102" s="922"/>
      <c r="B102" s="923"/>
      <c r="C102" s="923"/>
      <c r="D102" s="923"/>
      <c r="E102" s="923"/>
    </row>
    <row r="103" spans="1:5" x14ac:dyDescent="0.25">
      <c r="A103" s="922"/>
      <c r="B103" s="923"/>
      <c r="C103" s="923"/>
      <c r="D103" s="923"/>
      <c r="E103" s="923"/>
    </row>
    <row r="104" spans="1:5" x14ac:dyDescent="0.25">
      <c r="A104" s="922"/>
      <c r="B104" s="923"/>
      <c r="C104" s="923"/>
      <c r="D104" s="923"/>
      <c r="E104" s="923"/>
    </row>
    <row r="105" spans="1:5" x14ac:dyDescent="0.25">
      <c r="A105" s="922"/>
      <c r="B105" s="923"/>
      <c r="C105" s="923"/>
      <c r="D105" s="923"/>
      <c r="E105" s="923"/>
    </row>
    <row r="106" spans="1:5" x14ac:dyDescent="0.25">
      <c r="A106" s="922"/>
      <c r="B106" s="923"/>
      <c r="C106" s="923"/>
      <c r="D106" s="923"/>
      <c r="E106" s="923"/>
    </row>
    <row r="107" spans="1:5" x14ac:dyDescent="0.25">
      <c r="A107" s="922"/>
      <c r="B107" s="923"/>
      <c r="C107" s="923"/>
      <c r="D107" s="923"/>
      <c r="E107" s="923"/>
    </row>
    <row r="108" spans="1:5" x14ac:dyDescent="0.25">
      <c r="A108" s="922"/>
      <c r="B108" s="923"/>
      <c r="C108" s="923"/>
      <c r="D108" s="923"/>
      <c r="E108" s="923"/>
    </row>
    <row r="109" spans="1:5" x14ac:dyDescent="0.25">
      <c r="A109" s="922"/>
      <c r="B109" s="923"/>
      <c r="C109" s="923"/>
      <c r="D109" s="923"/>
      <c r="E109" s="923"/>
    </row>
    <row r="110" spans="1:5" x14ac:dyDescent="0.25">
      <c r="A110" s="922"/>
      <c r="B110" s="923"/>
      <c r="C110" s="923"/>
      <c r="D110" s="923"/>
      <c r="E110" s="923"/>
    </row>
    <row r="111" spans="1:5" x14ac:dyDescent="0.25">
      <c r="A111" s="922"/>
      <c r="B111" s="923"/>
      <c r="C111" s="923"/>
      <c r="D111" s="923"/>
      <c r="E111" s="923"/>
    </row>
    <row r="112" spans="1:5" x14ac:dyDescent="0.25">
      <c r="A112" s="922"/>
      <c r="B112" s="923"/>
      <c r="C112" s="923"/>
      <c r="D112" s="923"/>
      <c r="E112" s="923"/>
    </row>
    <row r="113" spans="1:5" x14ac:dyDescent="0.25">
      <c r="A113" s="922"/>
      <c r="B113" s="923"/>
      <c r="C113" s="923"/>
      <c r="D113" s="923"/>
      <c r="E113" s="923"/>
    </row>
    <row r="114" spans="1:5" x14ac:dyDescent="0.25">
      <c r="A114" s="922"/>
      <c r="B114" s="923"/>
      <c r="C114" s="923"/>
      <c r="D114" s="923"/>
      <c r="E114" s="923"/>
    </row>
    <row r="115" spans="1:5" x14ac:dyDescent="0.25">
      <c r="A115" s="922"/>
      <c r="B115" s="923"/>
      <c r="C115" s="923"/>
      <c r="D115" s="923"/>
      <c r="E115" s="923"/>
    </row>
    <row r="116" spans="1:5" x14ac:dyDescent="0.25">
      <c r="A116" s="922"/>
      <c r="B116" s="923"/>
      <c r="C116" s="923"/>
      <c r="D116" s="923"/>
      <c r="E116" s="923"/>
    </row>
    <row r="117" spans="1:5" x14ac:dyDescent="0.25">
      <c r="A117" s="922"/>
      <c r="B117" s="923"/>
      <c r="C117" s="923"/>
      <c r="D117" s="923"/>
      <c r="E117" s="923"/>
    </row>
    <row r="118" spans="1:5" x14ac:dyDescent="0.25">
      <c r="A118" s="922"/>
      <c r="B118" s="923"/>
      <c r="C118" s="923"/>
      <c r="D118" s="923"/>
      <c r="E118" s="923"/>
    </row>
    <row r="119" spans="1:5" x14ac:dyDescent="0.25">
      <c r="A119" s="922"/>
      <c r="B119" s="923"/>
      <c r="C119" s="923"/>
      <c r="D119" s="923"/>
      <c r="E119" s="923"/>
    </row>
    <row r="120" spans="1:5" x14ac:dyDescent="0.25">
      <c r="A120" s="922"/>
      <c r="B120" s="923"/>
      <c r="C120" s="923"/>
      <c r="D120" s="923"/>
      <c r="E120" s="923"/>
    </row>
    <row r="121" spans="1:5" x14ac:dyDescent="0.25">
      <c r="A121" s="922"/>
      <c r="B121" s="923"/>
      <c r="C121" s="923"/>
      <c r="D121" s="923"/>
      <c r="E121" s="923"/>
    </row>
    <row r="122" spans="1:5" x14ac:dyDescent="0.25">
      <c r="A122" s="922"/>
      <c r="B122" s="923"/>
      <c r="C122" s="923"/>
      <c r="D122" s="923"/>
      <c r="E122" s="923"/>
    </row>
    <row r="123" spans="1:5" x14ac:dyDescent="0.25">
      <c r="A123" s="922"/>
      <c r="B123" s="923"/>
      <c r="C123" s="923"/>
      <c r="D123" s="923"/>
      <c r="E123" s="923"/>
    </row>
    <row r="124" spans="1:5" x14ac:dyDescent="0.25">
      <c r="A124" s="922"/>
      <c r="B124" s="923"/>
      <c r="C124" s="923"/>
      <c r="D124" s="923"/>
      <c r="E124" s="923"/>
    </row>
    <row r="125" spans="1:5" x14ac:dyDescent="0.25">
      <c r="A125" s="922"/>
      <c r="B125" s="923"/>
      <c r="C125" s="923"/>
      <c r="D125" s="923"/>
      <c r="E125" s="923"/>
    </row>
    <row r="126" spans="1:5" x14ac:dyDescent="0.25">
      <c r="A126" s="922"/>
      <c r="B126" s="923"/>
      <c r="C126" s="923"/>
      <c r="D126" s="923"/>
      <c r="E126" s="923"/>
    </row>
    <row r="127" spans="1:5" x14ac:dyDescent="0.25">
      <c r="A127" s="922"/>
      <c r="B127" s="923"/>
      <c r="C127" s="923"/>
      <c r="D127" s="923"/>
      <c r="E127" s="923"/>
    </row>
    <row r="128" spans="1:5" x14ac:dyDescent="0.25">
      <c r="A128" s="922"/>
      <c r="B128" s="923"/>
      <c r="C128" s="923"/>
      <c r="D128" s="923"/>
      <c r="E128" s="923"/>
    </row>
    <row r="129" spans="1:5" x14ac:dyDescent="0.25">
      <c r="A129" s="922"/>
      <c r="B129" s="923"/>
      <c r="C129" s="923"/>
      <c r="D129" s="923"/>
      <c r="E129" s="923"/>
    </row>
    <row r="130" spans="1:5" x14ac:dyDescent="0.25">
      <c r="A130" s="922"/>
      <c r="B130" s="923"/>
      <c r="C130" s="923"/>
      <c r="D130" s="923"/>
      <c r="E130" s="923"/>
    </row>
    <row r="131" spans="1:5" x14ac:dyDescent="0.25">
      <c r="A131" s="922"/>
      <c r="B131" s="923"/>
      <c r="C131" s="923"/>
      <c r="D131" s="923"/>
      <c r="E131" s="923"/>
    </row>
    <row r="132" spans="1:5" x14ac:dyDescent="0.25">
      <c r="A132" s="922"/>
      <c r="B132" s="923"/>
      <c r="C132" s="923"/>
      <c r="D132" s="923"/>
      <c r="E132" s="923"/>
    </row>
    <row r="133" spans="1:5" x14ac:dyDescent="0.25">
      <c r="A133" s="922"/>
      <c r="B133" s="923"/>
      <c r="C133" s="923"/>
      <c r="D133" s="923"/>
      <c r="E133" s="923"/>
    </row>
    <row r="134" spans="1:5" x14ac:dyDescent="0.25">
      <c r="A134" s="922"/>
      <c r="B134" s="923"/>
      <c r="C134" s="923"/>
      <c r="D134" s="923"/>
      <c r="E134" s="923"/>
    </row>
    <row r="135" spans="1:5" x14ac:dyDescent="0.25">
      <c r="A135" s="922"/>
      <c r="B135" s="923"/>
      <c r="C135" s="923"/>
      <c r="D135" s="923"/>
      <c r="E135" s="923"/>
    </row>
    <row r="136" spans="1:5" x14ac:dyDescent="0.25">
      <c r="A136" s="922"/>
      <c r="B136" s="923"/>
      <c r="C136" s="923"/>
      <c r="D136" s="923"/>
      <c r="E136" s="923"/>
    </row>
    <row r="137" spans="1:5" x14ac:dyDescent="0.25">
      <c r="A137" s="922"/>
      <c r="B137" s="923"/>
      <c r="C137" s="923"/>
      <c r="D137" s="923"/>
      <c r="E137" s="923"/>
    </row>
    <row r="138" spans="1:5" x14ac:dyDescent="0.25">
      <c r="A138" s="922"/>
      <c r="B138" s="923"/>
      <c r="C138" s="923"/>
      <c r="D138" s="923"/>
      <c r="E138" s="923"/>
    </row>
    <row r="139" spans="1:5" x14ac:dyDescent="0.25">
      <c r="A139" s="922"/>
      <c r="B139" s="923"/>
      <c r="C139" s="923"/>
      <c r="D139" s="923"/>
      <c r="E139" s="923"/>
    </row>
    <row r="140" spans="1:5" x14ac:dyDescent="0.25">
      <c r="A140" s="922"/>
      <c r="B140" s="923"/>
      <c r="C140" s="923"/>
      <c r="D140" s="923"/>
      <c r="E140" s="923"/>
    </row>
    <row r="141" spans="1:5" x14ac:dyDescent="0.25">
      <c r="A141" s="922"/>
      <c r="B141" s="923"/>
      <c r="C141" s="923"/>
      <c r="D141" s="923"/>
      <c r="E141" s="923"/>
    </row>
    <row r="142" spans="1:5" x14ac:dyDescent="0.25">
      <c r="A142" s="922"/>
      <c r="B142" s="923"/>
      <c r="C142" s="923"/>
      <c r="D142" s="923"/>
      <c r="E142" s="923"/>
    </row>
    <row r="143" spans="1:5" x14ac:dyDescent="0.25">
      <c r="A143" s="922"/>
      <c r="B143" s="923"/>
      <c r="C143" s="923"/>
      <c r="D143" s="923"/>
      <c r="E143" s="923"/>
    </row>
    <row r="144" spans="1:5" x14ac:dyDescent="0.25">
      <c r="A144" s="922"/>
      <c r="B144" s="923"/>
      <c r="C144" s="923"/>
      <c r="D144" s="923"/>
      <c r="E144" s="923"/>
    </row>
    <row r="145" spans="1:5" x14ac:dyDescent="0.25">
      <c r="A145" s="922"/>
      <c r="B145" s="923"/>
      <c r="C145" s="923"/>
      <c r="D145" s="923"/>
      <c r="E145" s="923"/>
    </row>
    <row r="146" spans="1:5" x14ac:dyDescent="0.25">
      <c r="A146" s="922"/>
      <c r="B146" s="923"/>
      <c r="C146" s="923"/>
      <c r="D146" s="923"/>
      <c r="E146" s="923"/>
    </row>
    <row r="147" spans="1:5" x14ac:dyDescent="0.25">
      <c r="A147" s="922"/>
      <c r="B147" s="923"/>
      <c r="C147" s="923"/>
      <c r="D147" s="923"/>
      <c r="E147" s="923"/>
    </row>
    <row r="148" spans="1:5" x14ac:dyDescent="0.25">
      <c r="A148" s="922"/>
      <c r="B148" s="923"/>
      <c r="C148" s="923"/>
      <c r="D148" s="923"/>
      <c r="E148" s="923"/>
    </row>
    <row r="149" spans="1:5" x14ac:dyDescent="0.25">
      <c r="A149" s="922"/>
      <c r="B149" s="923"/>
      <c r="C149" s="923"/>
      <c r="D149" s="923"/>
      <c r="E149" s="923"/>
    </row>
    <row r="150" spans="1:5" x14ac:dyDescent="0.25">
      <c r="A150" s="922"/>
      <c r="B150" s="923"/>
      <c r="C150" s="923"/>
      <c r="D150" s="923"/>
      <c r="E150" s="923"/>
    </row>
    <row r="151" spans="1:5" x14ac:dyDescent="0.25">
      <c r="A151" s="922"/>
      <c r="B151" s="923"/>
      <c r="C151" s="923"/>
      <c r="D151" s="923"/>
      <c r="E151" s="923"/>
    </row>
    <row r="152" spans="1:5" x14ac:dyDescent="0.25">
      <c r="A152" s="922"/>
      <c r="B152" s="923"/>
      <c r="C152" s="923"/>
      <c r="D152" s="923"/>
      <c r="E152" s="923"/>
    </row>
    <row r="153" spans="1:5" x14ac:dyDescent="0.25">
      <c r="A153" s="922"/>
      <c r="B153" s="923"/>
      <c r="C153" s="923"/>
      <c r="D153" s="923"/>
      <c r="E153" s="923"/>
    </row>
    <row r="154" spans="1:5" x14ac:dyDescent="0.25">
      <c r="A154" s="922"/>
      <c r="B154" s="923"/>
      <c r="C154" s="923"/>
      <c r="D154" s="923"/>
      <c r="E154" s="923"/>
    </row>
    <row r="155" spans="1:5" x14ac:dyDescent="0.25">
      <c r="A155" s="922"/>
      <c r="B155" s="923"/>
      <c r="C155" s="923"/>
      <c r="D155" s="923"/>
      <c r="E155" s="923"/>
    </row>
    <row r="156" spans="1:5" x14ac:dyDescent="0.25">
      <c r="A156" s="922"/>
      <c r="B156" s="923"/>
      <c r="C156" s="923"/>
      <c r="D156" s="923"/>
      <c r="E156" s="923"/>
    </row>
    <row r="157" spans="1:5" x14ac:dyDescent="0.25">
      <c r="A157" s="922"/>
      <c r="B157" s="923"/>
      <c r="C157" s="923"/>
      <c r="D157" s="923"/>
      <c r="E157" s="923"/>
    </row>
    <row r="158" spans="1:5" x14ac:dyDescent="0.25">
      <c r="A158" s="922"/>
      <c r="B158" s="923"/>
      <c r="C158" s="923"/>
      <c r="D158" s="923"/>
      <c r="E158" s="923"/>
    </row>
    <row r="159" spans="1:5" x14ac:dyDescent="0.25">
      <c r="A159" s="922"/>
      <c r="B159" s="923"/>
      <c r="C159" s="923"/>
      <c r="D159" s="923"/>
      <c r="E159" s="923"/>
    </row>
    <row r="160" spans="1:5" x14ac:dyDescent="0.25">
      <c r="A160" s="922"/>
      <c r="B160" s="923"/>
      <c r="C160" s="923"/>
      <c r="D160" s="923"/>
      <c r="E160" s="923"/>
    </row>
    <row r="161" spans="1:5" x14ac:dyDescent="0.25">
      <c r="A161" s="922"/>
      <c r="B161" s="923"/>
      <c r="C161" s="923"/>
      <c r="D161" s="923"/>
      <c r="E161" s="923"/>
    </row>
    <row r="162" spans="1:5" x14ac:dyDescent="0.25">
      <c r="A162" s="922"/>
      <c r="B162" s="923"/>
      <c r="C162" s="923"/>
      <c r="D162" s="923"/>
      <c r="E162" s="923"/>
    </row>
    <row r="163" spans="1:5" x14ac:dyDescent="0.25">
      <c r="A163" s="922"/>
      <c r="B163" s="923"/>
      <c r="C163" s="923"/>
      <c r="D163" s="923"/>
      <c r="E163" s="923"/>
    </row>
    <row r="164" spans="1:5" x14ac:dyDescent="0.25">
      <c r="A164" s="922"/>
      <c r="B164" s="923"/>
      <c r="C164" s="923"/>
      <c r="D164" s="923"/>
      <c r="E164" s="923"/>
    </row>
    <row r="165" spans="1:5" x14ac:dyDescent="0.25">
      <c r="A165" s="922"/>
      <c r="B165" s="923"/>
      <c r="C165" s="923"/>
      <c r="D165" s="923"/>
      <c r="E165" s="923"/>
    </row>
    <row r="166" spans="1:5" x14ac:dyDescent="0.25">
      <c r="A166" s="922"/>
      <c r="B166" s="923"/>
      <c r="C166" s="923"/>
      <c r="D166" s="923"/>
      <c r="E166" s="923"/>
    </row>
    <row r="167" spans="1:5" x14ac:dyDescent="0.25">
      <c r="A167" s="922"/>
      <c r="B167" s="923"/>
      <c r="C167" s="923"/>
      <c r="D167" s="923"/>
      <c r="E167" s="923"/>
    </row>
    <row r="168" spans="1:5" x14ac:dyDescent="0.25">
      <c r="A168" s="922"/>
      <c r="B168" s="923"/>
      <c r="C168" s="923"/>
      <c r="D168" s="923"/>
      <c r="E168" s="923"/>
    </row>
    <row r="169" spans="1:5" x14ac:dyDescent="0.25">
      <c r="A169" s="922"/>
      <c r="B169" s="923"/>
      <c r="C169" s="923"/>
      <c r="D169" s="923"/>
      <c r="E169" s="923"/>
    </row>
    <row r="170" spans="1:5" x14ac:dyDescent="0.25">
      <c r="A170" s="922"/>
      <c r="B170" s="923"/>
      <c r="C170" s="923"/>
      <c r="D170" s="923"/>
      <c r="E170" s="923"/>
    </row>
    <row r="171" spans="1:5" x14ac:dyDescent="0.25">
      <c r="A171" s="922"/>
      <c r="B171" s="923"/>
      <c r="C171" s="923"/>
      <c r="D171" s="923"/>
      <c r="E171" s="923"/>
    </row>
    <row r="172" spans="1:5" x14ac:dyDescent="0.25">
      <c r="A172" s="922"/>
      <c r="B172" s="923"/>
      <c r="C172" s="923"/>
      <c r="D172" s="923"/>
      <c r="E172" s="923"/>
    </row>
    <row r="173" spans="1:5" x14ac:dyDescent="0.25">
      <c r="A173" s="922"/>
      <c r="B173" s="923"/>
      <c r="C173" s="923"/>
      <c r="D173" s="923"/>
      <c r="E173" s="923"/>
    </row>
    <row r="174" spans="1:5" x14ac:dyDescent="0.25">
      <c r="A174" s="922"/>
      <c r="B174" s="923"/>
      <c r="C174" s="923"/>
      <c r="D174" s="923"/>
      <c r="E174" s="923"/>
    </row>
    <row r="175" spans="1:5" x14ac:dyDescent="0.25">
      <c r="A175" s="922"/>
      <c r="B175" s="923"/>
      <c r="C175" s="923"/>
      <c r="D175" s="923"/>
      <c r="E175" s="923"/>
    </row>
    <row r="176" spans="1:5" x14ac:dyDescent="0.25">
      <c r="A176" s="922"/>
      <c r="B176" s="923"/>
      <c r="C176" s="923"/>
      <c r="D176" s="923"/>
      <c r="E176" s="923"/>
    </row>
    <row r="177" spans="1:5" x14ac:dyDescent="0.25">
      <c r="A177" s="922"/>
      <c r="B177" s="923"/>
      <c r="C177" s="923"/>
      <c r="D177" s="923"/>
      <c r="E177" s="923"/>
    </row>
    <row r="178" spans="1:5" x14ac:dyDescent="0.25">
      <c r="A178" s="922"/>
      <c r="B178" s="923"/>
      <c r="C178" s="923"/>
      <c r="D178" s="923"/>
      <c r="E178" s="923"/>
    </row>
    <row r="179" spans="1:5" x14ac:dyDescent="0.25">
      <c r="A179" s="922"/>
      <c r="B179" s="923"/>
      <c r="C179" s="923"/>
      <c r="D179" s="923"/>
      <c r="E179" s="923"/>
    </row>
    <row r="180" spans="1:5" x14ac:dyDescent="0.25">
      <c r="A180" s="922"/>
      <c r="B180" s="923"/>
      <c r="C180" s="923"/>
      <c r="D180" s="923"/>
      <c r="E180" s="923"/>
    </row>
    <row r="181" spans="1:5" x14ac:dyDescent="0.25">
      <c r="A181" s="922"/>
      <c r="B181" s="923"/>
      <c r="C181" s="923"/>
      <c r="D181" s="923"/>
      <c r="E181" s="923"/>
    </row>
    <row r="182" spans="1:5" x14ac:dyDescent="0.25">
      <c r="A182" s="922"/>
      <c r="B182" s="923"/>
      <c r="C182" s="923"/>
      <c r="D182" s="923"/>
      <c r="E182" s="923"/>
    </row>
    <row r="183" spans="1:5" x14ac:dyDescent="0.25">
      <c r="A183" s="922"/>
      <c r="B183" s="923"/>
      <c r="C183" s="923"/>
      <c r="D183" s="923"/>
      <c r="E183" s="923"/>
    </row>
    <row r="184" spans="1:5" x14ac:dyDescent="0.25">
      <c r="A184" s="922"/>
      <c r="B184" s="923"/>
      <c r="C184" s="923"/>
      <c r="D184" s="923"/>
      <c r="E184" s="923"/>
    </row>
    <row r="185" spans="1:5" x14ac:dyDescent="0.25">
      <c r="A185" s="922"/>
      <c r="B185" s="923"/>
      <c r="C185" s="923"/>
      <c r="D185" s="923"/>
      <c r="E185" s="923"/>
    </row>
    <row r="186" spans="1:5" x14ac:dyDescent="0.25">
      <c r="A186" s="922"/>
      <c r="B186" s="923"/>
      <c r="C186" s="923"/>
      <c r="D186" s="923"/>
      <c r="E186" s="923"/>
    </row>
    <row r="187" spans="1:5" x14ac:dyDescent="0.25">
      <c r="A187" s="922"/>
      <c r="B187" s="923"/>
      <c r="C187" s="923"/>
      <c r="D187" s="923"/>
      <c r="E187" s="923"/>
    </row>
    <row r="188" spans="1:5" x14ac:dyDescent="0.25">
      <c r="A188" s="922"/>
      <c r="B188" s="923"/>
      <c r="C188" s="923"/>
      <c r="D188" s="923"/>
      <c r="E188" s="923"/>
    </row>
    <row r="189" spans="1:5" x14ac:dyDescent="0.25">
      <c r="A189" s="922"/>
      <c r="B189" s="923"/>
      <c r="C189" s="923"/>
      <c r="D189" s="923"/>
      <c r="E189" s="923"/>
    </row>
    <row r="190" spans="1:5" x14ac:dyDescent="0.25">
      <c r="A190" s="922"/>
      <c r="B190" s="923"/>
      <c r="C190" s="923"/>
      <c r="D190" s="923"/>
      <c r="E190" s="923"/>
    </row>
    <row r="191" spans="1:5" x14ac:dyDescent="0.25">
      <c r="A191" s="922"/>
      <c r="B191" s="923"/>
      <c r="C191" s="923"/>
      <c r="D191" s="923"/>
      <c r="E191" s="923"/>
    </row>
    <row r="192" spans="1:5" x14ac:dyDescent="0.25">
      <c r="A192" s="922"/>
      <c r="B192" s="923"/>
      <c r="C192" s="923"/>
      <c r="D192" s="923"/>
      <c r="E192" s="923"/>
    </row>
    <row r="193" spans="1:5" x14ac:dyDescent="0.25">
      <c r="A193" s="922"/>
      <c r="B193" s="923"/>
      <c r="C193" s="923"/>
      <c r="D193" s="923"/>
      <c r="E193" s="923"/>
    </row>
    <row r="194" spans="1:5" x14ac:dyDescent="0.25">
      <c r="A194" s="922"/>
      <c r="B194" s="923"/>
      <c r="C194" s="923"/>
      <c r="D194" s="923"/>
      <c r="E194" s="923"/>
    </row>
    <row r="195" spans="1:5" x14ac:dyDescent="0.25">
      <c r="A195" s="922"/>
      <c r="B195" s="923"/>
      <c r="C195" s="923"/>
      <c r="D195" s="923"/>
      <c r="E195" s="923"/>
    </row>
    <row r="196" spans="1:5" x14ac:dyDescent="0.25">
      <c r="A196" s="922"/>
      <c r="B196" s="923"/>
      <c r="C196" s="923"/>
      <c r="D196" s="923"/>
      <c r="E196" s="923"/>
    </row>
    <row r="197" spans="1:5" x14ac:dyDescent="0.25">
      <c r="A197" s="922"/>
      <c r="B197" s="923"/>
      <c r="C197" s="923"/>
      <c r="D197" s="923"/>
      <c r="E197" s="923"/>
    </row>
    <row r="198" spans="1:5" x14ac:dyDescent="0.25">
      <c r="A198" s="922"/>
      <c r="B198" s="923"/>
      <c r="C198" s="923"/>
      <c r="D198" s="923"/>
      <c r="E198" s="923"/>
    </row>
    <row r="199" spans="1:5" x14ac:dyDescent="0.25">
      <c r="A199" s="922"/>
      <c r="B199" s="923"/>
      <c r="C199" s="923"/>
      <c r="D199" s="923"/>
      <c r="E199" s="923"/>
    </row>
    <row r="200" spans="1:5" x14ac:dyDescent="0.25">
      <c r="A200" s="922"/>
      <c r="B200" s="923"/>
      <c r="C200" s="923"/>
      <c r="D200" s="923"/>
      <c r="E200" s="923"/>
    </row>
    <row r="201" spans="1:5" x14ac:dyDescent="0.25">
      <c r="A201" s="922"/>
      <c r="B201" s="923"/>
      <c r="C201" s="923"/>
      <c r="D201" s="923"/>
      <c r="E201" s="923"/>
    </row>
    <row r="202" spans="1:5" x14ac:dyDescent="0.25">
      <c r="A202" s="922"/>
      <c r="B202" s="923"/>
      <c r="C202" s="923"/>
      <c r="D202" s="923"/>
      <c r="E202" s="923"/>
    </row>
    <row r="203" spans="1:5" x14ac:dyDescent="0.25">
      <c r="A203" s="922"/>
      <c r="B203" s="923"/>
      <c r="C203" s="923"/>
      <c r="D203" s="923"/>
      <c r="E203" s="923"/>
    </row>
    <row r="204" spans="1:5" x14ac:dyDescent="0.25">
      <c r="A204" s="922"/>
      <c r="B204" s="923"/>
      <c r="C204" s="923"/>
      <c r="D204" s="923"/>
      <c r="E204" s="923"/>
    </row>
    <row r="205" spans="1:5" x14ac:dyDescent="0.25">
      <c r="A205" s="922"/>
      <c r="B205" s="923"/>
      <c r="C205" s="923"/>
      <c r="D205" s="923"/>
      <c r="E205" s="923"/>
    </row>
    <row r="206" spans="1:5" x14ac:dyDescent="0.25">
      <c r="A206" s="922"/>
      <c r="B206" s="923"/>
      <c r="C206" s="923"/>
      <c r="D206" s="923"/>
      <c r="E206" s="923"/>
    </row>
    <row r="207" spans="1:5" x14ac:dyDescent="0.25">
      <c r="A207" s="922"/>
      <c r="B207" s="923"/>
      <c r="C207" s="923"/>
      <c r="D207" s="923"/>
      <c r="E207" s="923"/>
    </row>
    <row r="208" spans="1:5" x14ac:dyDescent="0.25">
      <c r="A208" s="922"/>
      <c r="B208" s="923"/>
      <c r="C208" s="923"/>
      <c r="D208" s="923"/>
      <c r="E208" s="923"/>
    </row>
    <row r="209" spans="1:5" x14ac:dyDescent="0.25">
      <c r="A209" s="922"/>
      <c r="B209" s="923"/>
      <c r="C209" s="923"/>
      <c r="D209" s="923"/>
      <c r="E209" s="923"/>
    </row>
    <row r="210" spans="1:5" x14ac:dyDescent="0.25">
      <c r="A210" s="922"/>
      <c r="B210" s="923"/>
      <c r="C210" s="923"/>
      <c r="D210" s="923"/>
      <c r="E210" s="923"/>
    </row>
    <row r="211" spans="1:5" x14ac:dyDescent="0.25">
      <c r="A211" s="922"/>
      <c r="B211" s="923"/>
      <c r="C211" s="923"/>
      <c r="D211" s="923"/>
      <c r="E211" s="923"/>
    </row>
    <row r="212" spans="1:5" x14ac:dyDescent="0.25">
      <c r="A212" s="922"/>
      <c r="B212" s="923"/>
      <c r="C212" s="923"/>
      <c r="D212" s="923"/>
      <c r="E212" s="923"/>
    </row>
    <row r="213" spans="1:5" x14ac:dyDescent="0.25">
      <c r="A213" s="922"/>
      <c r="B213" s="923"/>
      <c r="C213" s="923"/>
      <c r="D213" s="923"/>
      <c r="E213" s="923"/>
    </row>
    <row r="214" spans="1:5" x14ac:dyDescent="0.25">
      <c r="A214" s="922"/>
      <c r="B214" s="923"/>
      <c r="C214" s="923"/>
      <c r="D214" s="923"/>
      <c r="E214" s="923"/>
    </row>
    <row r="215" spans="1:5" x14ac:dyDescent="0.25">
      <c r="A215" s="922"/>
      <c r="B215" s="923"/>
      <c r="C215" s="923"/>
      <c r="D215" s="923"/>
      <c r="E215" s="923"/>
    </row>
    <row r="216" spans="1:5" x14ac:dyDescent="0.25">
      <c r="A216" s="922"/>
      <c r="B216" s="923"/>
      <c r="C216" s="923"/>
      <c r="D216" s="923"/>
      <c r="E216" s="923"/>
    </row>
    <row r="217" spans="1:5" x14ac:dyDescent="0.25">
      <c r="A217" s="922"/>
      <c r="B217" s="923"/>
      <c r="C217" s="923"/>
      <c r="D217" s="923"/>
      <c r="E217" s="923"/>
    </row>
    <row r="218" spans="1:5" x14ac:dyDescent="0.25">
      <c r="A218" s="922"/>
      <c r="B218" s="923"/>
      <c r="C218" s="923"/>
      <c r="D218" s="923"/>
      <c r="E218" s="923"/>
    </row>
    <row r="219" spans="1:5" x14ac:dyDescent="0.25">
      <c r="A219" s="922"/>
      <c r="B219" s="923"/>
      <c r="C219" s="923"/>
      <c r="D219" s="923"/>
      <c r="E219" s="923"/>
    </row>
    <row r="220" spans="1:5" x14ac:dyDescent="0.25">
      <c r="A220" s="922"/>
      <c r="B220" s="923"/>
      <c r="C220" s="923"/>
      <c r="D220" s="923"/>
      <c r="E220" s="923"/>
    </row>
    <row r="221" spans="1:5" x14ac:dyDescent="0.25">
      <c r="A221" s="922"/>
      <c r="B221" s="923"/>
      <c r="C221" s="923"/>
      <c r="D221" s="923"/>
      <c r="E221" s="923"/>
    </row>
    <row r="222" spans="1:5" x14ac:dyDescent="0.25">
      <c r="A222" s="922"/>
      <c r="B222" s="923"/>
      <c r="C222" s="923"/>
      <c r="D222" s="923"/>
      <c r="E222" s="923"/>
    </row>
    <row r="223" spans="1:5" x14ac:dyDescent="0.25">
      <c r="A223" s="922"/>
      <c r="B223" s="923"/>
      <c r="C223" s="923"/>
      <c r="D223" s="923"/>
      <c r="E223" s="923"/>
    </row>
    <row r="224" spans="1:5" x14ac:dyDescent="0.25">
      <c r="A224" s="922"/>
      <c r="B224" s="923"/>
      <c r="C224" s="923"/>
      <c r="D224" s="923"/>
      <c r="E224" s="923"/>
    </row>
    <row r="225" spans="1:5" x14ac:dyDescent="0.25">
      <c r="A225" s="922"/>
      <c r="B225" s="923"/>
      <c r="C225" s="923"/>
      <c r="D225" s="923"/>
      <c r="E225" s="923"/>
    </row>
    <row r="226" spans="1:5" x14ac:dyDescent="0.25">
      <c r="A226" s="922"/>
      <c r="B226" s="923"/>
      <c r="C226" s="923"/>
      <c r="D226" s="923"/>
      <c r="E226" s="923"/>
    </row>
    <row r="227" spans="1:5" x14ac:dyDescent="0.25">
      <c r="A227" s="922"/>
      <c r="B227" s="923"/>
      <c r="C227" s="923"/>
      <c r="D227" s="923"/>
      <c r="E227" s="923"/>
    </row>
    <row r="228" spans="1:5" x14ac:dyDescent="0.25">
      <c r="A228" s="922"/>
      <c r="B228" s="923"/>
      <c r="C228" s="923"/>
      <c r="D228" s="923"/>
      <c r="E228" s="923"/>
    </row>
    <row r="229" spans="1:5" x14ac:dyDescent="0.25">
      <c r="A229" s="922"/>
      <c r="B229" s="923"/>
      <c r="C229" s="923"/>
      <c r="D229" s="923"/>
      <c r="E229" s="923"/>
    </row>
    <row r="230" spans="1:5" x14ac:dyDescent="0.25">
      <c r="A230" s="922"/>
      <c r="B230" s="923"/>
      <c r="C230" s="923"/>
      <c r="D230" s="923"/>
      <c r="E230" s="923"/>
    </row>
    <row r="231" spans="1:5" x14ac:dyDescent="0.25">
      <c r="A231" s="922"/>
      <c r="B231" s="923"/>
      <c r="C231" s="923"/>
      <c r="D231" s="923"/>
      <c r="E231" s="923"/>
    </row>
    <row r="232" spans="1:5" x14ac:dyDescent="0.25">
      <c r="A232" s="922"/>
      <c r="B232" s="923"/>
      <c r="C232" s="923"/>
      <c r="D232" s="923"/>
      <c r="E232" s="923"/>
    </row>
    <row r="233" spans="1:5" x14ac:dyDescent="0.25">
      <c r="A233" s="922"/>
      <c r="B233" s="923"/>
      <c r="C233" s="923"/>
      <c r="D233" s="923"/>
      <c r="E233" s="923"/>
    </row>
    <row r="234" spans="1:5" x14ac:dyDescent="0.25">
      <c r="A234" s="922"/>
      <c r="B234" s="923"/>
      <c r="C234" s="923"/>
      <c r="D234" s="923"/>
      <c r="E234" s="923"/>
    </row>
    <row r="235" spans="1:5" x14ac:dyDescent="0.25">
      <c r="A235" s="922"/>
      <c r="B235" s="923"/>
      <c r="C235" s="923"/>
      <c r="D235" s="923"/>
      <c r="E235" s="923"/>
    </row>
    <row r="236" spans="1:5" x14ac:dyDescent="0.25">
      <c r="A236" s="922"/>
      <c r="B236" s="923"/>
      <c r="C236" s="923"/>
      <c r="D236" s="923"/>
      <c r="E236" s="923"/>
    </row>
    <row r="237" spans="1:5" x14ac:dyDescent="0.25">
      <c r="A237" s="922"/>
      <c r="B237" s="923"/>
      <c r="C237" s="923"/>
      <c r="D237" s="923"/>
      <c r="E237" s="923"/>
    </row>
    <row r="238" spans="1:5" x14ac:dyDescent="0.25">
      <c r="A238" s="922"/>
      <c r="B238" s="923"/>
      <c r="C238" s="923"/>
      <c r="D238" s="923"/>
      <c r="E238" s="923"/>
    </row>
    <row r="239" spans="1:5" x14ac:dyDescent="0.25">
      <c r="A239" s="922"/>
      <c r="B239" s="923"/>
      <c r="C239" s="923"/>
      <c r="D239" s="923"/>
      <c r="E239" s="923"/>
    </row>
    <row r="240" spans="1:5" x14ac:dyDescent="0.25">
      <c r="A240" s="922"/>
      <c r="B240" s="923"/>
      <c r="C240" s="923"/>
      <c r="D240" s="923"/>
      <c r="E240" s="923"/>
    </row>
    <row r="241" spans="1:5" x14ac:dyDescent="0.25">
      <c r="A241" s="922"/>
      <c r="B241" s="923"/>
      <c r="C241" s="923"/>
      <c r="D241" s="923"/>
      <c r="E241" s="923"/>
    </row>
    <row r="242" spans="1:5" x14ac:dyDescent="0.25">
      <c r="A242" s="922"/>
      <c r="B242" s="923"/>
      <c r="C242" s="923"/>
      <c r="D242" s="923"/>
      <c r="E242" s="923"/>
    </row>
    <row r="243" spans="1:5" x14ac:dyDescent="0.25">
      <c r="A243" s="922"/>
      <c r="B243" s="923"/>
      <c r="C243" s="923"/>
      <c r="D243" s="923"/>
      <c r="E243" s="923"/>
    </row>
    <row r="244" spans="1:5" x14ac:dyDescent="0.25">
      <c r="A244" s="922"/>
      <c r="B244" s="923"/>
      <c r="C244" s="923"/>
      <c r="D244" s="923"/>
      <c r="E244" s="923"/>
    </row>
    <row r="245" spans="1:5" x14ac:dyDescent="0.25">
      <c r="A245" s="922"/>
      <c r="B245" s="923"/>
      <c r="C245" s="923"/>
      <c r="D245" s="923"/>
      <c r="E245" s="923"/>
    </row>
    <row r="246" spans="1:5" x14ac:dyDescent="0.25">
      <c r="A246" s="922"/>
      <c r="B246" s="923"/>
      <c r="C246" s="923"/>
      <c r="D246" s="923"/>
      <c r="E246" s="923"/>
    </row>
    <row r="247" spans="1:5" x14ac:dyDescent="0.25">
      <c r="A247" s="922"/>
      <c r="B247" s="923"/>
      <c r="C247" s="923"/>
      <c r="D247" s="923"/>
      <c r="E247" s="923"/>
    </row>
    <row r="248" spans="1:5" x14ac:dyDescent="0.25">
      <c r="A248" s="922"/>
      <c r="B248" s="923"/>
      <c r="C248" s="923"/>
      <c r="D248" s="923"/>
      <c r="E248" s="923"/>
    </row>
    <row r="249" spans="1:5" x14ac:dyDescent="0.25">
      <c r="A249" s="922"/>
      <c r="B249" s="923"/>
      <c r="C249" s="923"/>
      <c r="D249" s="923"/>
      <c r="E249" s="923"/>
    </row>
    <row r="250" spans="1:5" x14ac:dyDescent="0.25">
      <c r="A250" s="922"/>
      <c r="B250" s="923"/>
      <c r="C250" s="923"/>
      <c r="D250" s="923"/>
      <c r="E250" s="923"/>
    </row>
    <row r="251" spans="1:5" x14ac:dyDescent="0.25">
      <c r="A251" s="922"/>
      <c r="B251" s="923"/>
      <c r="C251" s="923"/>
      <c r="D251" s="923"/>
      <c r="E251" s="923"/>
    </row>
    <row r="252" spans="1:5" x14ac:dyDescent="0.25">
      <c r="A252" s="922"/>
      <c r="B252" s="923"/>
      <c r="C252" s="923"/>
      <c r="D252" s="923"/>
      <c r="E252" s="923"/>
    </row>
    <row r="253" spans="1:5" x14ac:dyDescent="0.25">
      <c r="A253" s="922"/>
      <c r="B253" s="923"/>
      <c r="C253" s="923"/>
      <c r="D253" s="923"/>
      <c r="E253" s="923"/>
    </row>
    <row r="254" spans="1:5" x14ac:dyDescent="0.25">
      <c r="A254" s="922"/>
      <c r="B254" s="923"/>
      <c r="C254" s="923"/>
      <c r="D254" s="923"/>
      <c r="E254" s="923"/>
    </row>
    <row r="255" spans="1:5" x14ac:dyDescent="0.25">
      <c r="A255" s="922"/>
      <c r="B255" s="923"/>
      <c r="C255" s="923"/>
      <c r="D255" s="923"/>
      <c r="E255" s="923"/>
    </row>
    <row r="256" spans="1:5" x14ac:dyDescent="0.25">
      <c r="A256" s="922"/>
      <c r="B256" s="923"/>
      <c r="C256" s="923"/>
      <c r="D256" s="923"/>
      <c r="E256" s="923"/>
    </row>
    <row r="257" spans="1:5" x14ac:dyDescent="0.25">
      <c r="A257" s="922"/>
      <c r="B257" s="923"/>
      <c r="C257" s="923"/>
      <c r="D257" s="923"/>
      <c r="E257" s="923"/>
    </row>
    <row r="258" spans="1:5" x14ac:dyDescent="0.25">
      <c r="A258" s="922"/>
      <c r="B258" s="923"/>
      <c r="C258" s="923"/>
      <c r="D258" s="923"/>
      <c r="E258" s="923"/>
    </row>
    <row r="259" spans="1:5" x14ac:dyDescent="0.25">
      <c r="A259" s="922"/>
      <c r="B259" s="923"/>
      <c r="C259" s="923"/>
      <c r="D259" s="923"/>
      <c r="E259" s="923"/>
    </row>
    <row r="260" spans="1:5" x14ac:dyDescent="0.25">
      <c r="A260" s="922"/>
      <c r="B260" s="923"/>
      <c r="C260" s="923"/>
      <c r="D260" s="923"/>
      <c r="E260" s="923"/>
    </row>
    <row r="261" spans="1:5" x14ac:dyDescent="0.25">
      <c r="A261" s="922"/>
      <c r="B261" s="923"/>
      <c r="C261" s="923"/>
      <c r="D261" s="923"/>
      <c r="E261" s="923"/>
    </row>
    <row r="262" spans="1:5" x14ac:dyDescent="0.25">
      <c r="A262" s="922"/>
      <c r="B262" s="923"/>
      <c r="C262" s="923"/>
      <c r="D262" s="923"/>
      <c r="E262" s="923"/>
    </row>
    <row r="263" spans="1:5" x14ac:dyDescent="0.25">
      <c r="A263" s="922"/>
      <c r="B263" s="923"/>
      <c r="C263" s="923"/>
      <c r="D263" s="923"/>
      <c r="E263" s="923"/>
    </row>
    <row r="264" spans="1:5" x14ac:dyDescent="0.25">
      <c r="A264" s="922"/>
      <c r="B264" s="923"/>
      <c r="C264" s="923"/>
      <c r="D264" s="923"/>
      <c r="E264" s="923"/>
    </row>
    <row r="265" spans="1:5" x14ac:dyDescent="0.25">
      <c r="A265" s="922"/>
      <c r="B265" s="923"/>
      <c r="C265" s="923"/>
      <c r="D265" s="923"/>
      <c r="E265" s="923"/>
    </row>
    <row r="266" spans="1:5" x14ac:dyDescent="0.25">
      <c r="A266" s="922"/>
      <c r="B266" s="923"/>
      <c r="C266" s="923"/>
      <c r="D266" s="923"/>
      <c r="E266" s="923"/>
    </row>
    <row r="267" spans="1:5" x14ac:dyDescent="0.25">
      <c r="A267" s="922"/>
      <c r="B267" s="923"/>
      <c r="C267" s="923"/>
      <c r="D267" s="923"/>
      <c r="E267" s="923"/>
    </row>
    <row r="268" spans="1:5" x14ac:dyDescent="0.25">
      <c r="A268" s="922"/>
      <c r="B268" s="923"/>
      <c r="C268" s="923"/>
      <c r="D268" s="923"/>
      <c r="E268" s="923"/>
    </row>
    <row r="269" spans="1:5" x14ac:dyDescent="0.25">
      <c r="A269" s="922"/>
      <c r="B269" s="923"/>
      <c r="C269" s="923"/>
      <c r="D269" s="923"/>
      <c r="E269" s="923"/>
    </row>
    <row r="270" spans="1:5" x14ac:dyDescent="0.25">
      <c r="A270" s="922"/>
      <c r="B270" s="923"/>
      <c r="C270" s="923"/>
      <c r="D270" s="923"/>
      <c r="E270" s="923"/>
    </row>
    <row r="271" spans="1:5" x14ac:dyDescent="0.25">
      <c r="A271" s="922"/>
      <c r="B271" s="923"/>
      <c r="C271" s="923"/>
      <c r="D271" s="923"/>
      <c r="E271" s="923"/>
    </row>
    <row r="272" spans="1:5" x14ac:dyDescent="0.25">
      <c r="A272" s="922"/>
      <c r="B272" s="923"/>
      <c r="C272" s="923"/>
      <c r="D272" s="923"/>
      <c r="E272" s="923"/>
    </row>
    <row r="273" spans="1:5" x14ac:dyDescent="0.25">
      <c r="A273" s="922"/>
      <c r="B273" s="923"/>
      <c r="C273" s="923"/>
      <c r="D273" s="923"/>
      <c r="E273" s="923"/>
    </row>
    <row r="274" spans="1:5" x14ac:dyDescent="0.25">
      <c r="A274" s="922"/>
      <c r="B274" s="923"/>
      <c r="C274" s="923"/>
      <c r="D274" s="923"/>
      <c r="E274" s="923"/>
    </row>
    <row r="275" spans="1:5" x14ac:dyDescent="0.25">
      <c r="A275" s="922"/>
      <c r="B275" s="923"/>
      <c r="C275" s="923"/>
      <c r="D275" s="923"/>
      <c r="E275" s="923"/>
    </row>
    <row r="276" spans="1:5" x14ac:dyDescent="0.25">
      <c r="A276" s="922"/>
      <c r="B276" s="923"/>
      <c r="C276" s="923"/>
      <c r="D276" s="923"/>
      <c r="E276" s="923"/>
    </row>
    <row r="277" spans="1:5" x14ac:dyDescent="0.25">
      <c r="A277" s="922"/>
      <c r="B277" s="923"/>
      <c r="C277" s="923"/>
      <c r="D277" s="923"/>
      <c r="E277" s="923"/>
    </row>
    <row r="278" spans="1:5" x14ac:dyDescent="0.25">
      <c r="A278" s="922"/>
      <c r="B278" s="923"/>
      <c r="C278" s="923"/>
      <c r="D278" s="923"/>
      <c r="E278" s="923"/>
    </row>
    <row r="279" spans="1:5" x14ac:dyDescent="0.25">
      <c r="A279" s="922"/>
      <c r="B279" s="923"/>
      <c r="C279" s="923"/>
      <c r="D279" s="923"/>
      <c r="E279" s="923"/>
    </row>
    <row r="280" spans="1:5" x14ac:dyDescent="0.25">
      <c r="A280" s="922"/>
      <c r="B280" s="923"/>
      <c r="C280" s="923"/>
      <c r="D280" s="923"/>
      <c r="E280" s="923"/>
    </row>
    <row r="281" spans="1:5" x14ac:dyDescent="0.25">
      <c r="A281" s="922"/>
      <c r="B281" s="923"/>
      <c r="C281" s="923"/>
      <c r="D281" s="923"/>
      <c r="E281" s="923"/>
    </row>
    <row r="282" spans="1:5" x14ac:dyDescent="0.25">
      <c r="A282" s="922"/>
      <c r="B282" s="923"/>
      <c r="C282" s="923"/>
      <c r="D282" s="923"/>
      <c r="E282" s="923"/>
    </row>
    <row r="283" spans="1:5" x14ac:dyDescent="0.25">
      <c r="A283" s="922"/>
      <c r="B283" s="923"/>
      <c r="C283" s="923"/>
      <c r="D283" s="923"/>
      <c r="E283" s="923"/>
    </row>
    <row r="284" spans="1:5" x14ac:dyDescent="0.25">
      <c r="A284" s="922"/>
      <c r="B284" s="923"/>
      <c r="C284" s="923"/>
      <c r="D284" s="923"/>
      <c r="E284" s="923"/>
    </row>
    <row r="285" spans="1:5" x14ac:dyDescent="0.25">
      <c r="A285" s="922"/>
      <c r="B285" s="923"/>
      <c r="C285" s="923"/>
      <c r="D285" s="923"/>
      <c r="E285" s="923"/>
    </row>
    <row r="286" spans="1:5" x14ac:dyDescent="0.25">
      <c r="A286" s="922"/>
      <c r="B286" s="923"/>
      <c r="C286" s="923"/>
      <c r="D286" s="923"/>
      <c r="E286" s="923"/>
    </row>
    <row r="287" spans="1:5" x14ac:dyDescent="0.25">
      <c r="A287" s="922"/>
      <c r="B287" s="923"/>
      <c r="C287" s="923"/>
      <c r="D287" s="923"/>
      <c r="E287" s="923"/>
    </row>
    <row r="288" spans="1:5" x14ac:dyDescent="0.25">
      <c r="A288" s="922"/>
      <c r="B288" s="923"/>
      <c r="C288" s="923"/>
      <c r="D288" s="923"/>
      <c r="E288" s="923"/>
    </row>
    <row r="289" spans="1:5" x14ac:dyDescent="0.25">
      <c r="A289" s="922"/>
      <c r="B289" s="923"/>
      <c r="C289" s="923"/>
      <c r="D289" s="923"/>
      <c r="E289" s="923"/>
    </row>
    <row r="290" spans="1:5" x14ac:dyDescent="0.25">
      <c r="A290" s="922"/>
      <c r="B290" s="923"/>
      <c r="C290" s="923"/>
      <c r="D290" s="923"/>
      <c r="E290" s="923"/>
    </row>
    <row r="291" spans="1:5" x14ac:dyDescent="0.25">
      <c r="A291" s="922"/>
      <c r="B291" s="923"/>
      <c r="C291" s="923"/>
      <c r="D291" s="923"/>
      <c r="E291" s="923"/>
    </row>
    <row r="292" spans="1:5" x14ac:dyDescent="0.25">
      <c r="A292" s="922"/>
      <c r="B292" s="923"/>
      <c r="C292" s="923"/>
      <c r="D292" s="923"/>
      <c r="E292" s="923"/>
    </row>
    <row r="293" spans="1:5" x14ac:dyDescent="0.25">
      <c r="A293" s="922"/>
      <c r="B293" s="923"/>
      <c r="C293" s="923"/>
      <c r="D293" s="923"/>
      <c r="E293" s="923"/>
    </row>
    <row r="294" spans="1:5" x14ac:dyDescent="0.25">
      <c r="A294" s="922"/>
      <c r="B294" s="923"/>
      <c r="C294" s="923"/>
      <c r="D294" s="923"/>
      <c r="E294" s="923"/>
    </row>
    <row r="295" spans="1:5" x14ac:dyDescent="0.25">
      <c r="A295" s="922"/>
      <c r="B295" s="923"/>
      <c r="C295" s="923"/>
      <c r="D295" s="923"/>
      <c r="E295" s="923"/>
    </row>
    <row r="296" spans="1:5" x14ac:dyDescent="0.25">
      <c r="A296" s="922"/>
      <c r="B296" s="923"/>
      <c r="C296" s="923"/>
      <c r="D296" s="923"/>
      <c r="E296" s="923"/>
    </row>
    <row r="297" spans="1:5" x14ac:dyDescent="0.25">
      <c r="A297" s="922"/>
      <c r="B297" s="923"/>
      <c r="C297" s="923"/>
      <c r="D297" s="923"/>
      <c r="E297" s="923"/>
    </row>
    <row r="298" spans="1:5" x14ac:dyDescent="0.25">
      <c r="A298" s="922"/>
      <c r="B298" s="923"/>
      <c r="C298" s="923"/>
      <c r="D298" s="923"/>
      <c r="E298" s="923"/>
    </row>
    <row r="299" spans="1:5" x14ac:dyDescent="0.25">
      <c r="A299" s="922"/>
      <c r="B299" s="923"/>
      <c r="C299" s="923"/>
      <c r="D299" s="923"/>
      <c r="E299" s="923"/>
    </row>
    <row r="300" spans="1:5" x14ac:dyDescent="0.25">
      <c r="A300" s="922"/>
      <c r="B300" s="923"/>
      <c r="C300" s="923"/>
      <c r="D300" s="923"/>
      <c r="E300" s="923"/>
    </row>
    <row r="301" spans="1:5" x14ac:dyDescent="0.25">
      <c r="A301" s="922"/>
      <c r="B301" s="923"/>
      <c r="C301" s="923"/>
      <c r="D301" s="923"/>
      <c r="E301" s="923"/>
    </row>
    <row r="302" spans="1:5" x14ac:dyDescent="0.25">
      <c r="A302" s="922"/>
      <c r="B302" s="923"/>
      <c r="C302" s="923"/>
      <c r="D302" s="923"/>
      <c r="E302" s="923"/>
    </row>
    <row r="303" spans="1:5" x14ac:dyDescent="0.25">
      <c r="A303" s="922"/>
      <c r="B303" s="923"/>
      <c r="C303" s="923"/>
      <c r="D303" s="923"/>
      <c r="E303" s="923"/>
    </row>
    <row r="304" spans="1:5" x14ac:dyDescent="0.25">
      <c r="A304" s="922"/>
      <c r="B304" s="923"/>
      <c r="C304" s="923"/>
      <c r="D304" s="923"/>
      <c r="E304" s="923"/>
    </row>
    <row r="305" spans="1:5" x14ac:dyDescent="0.25">
      <c r="A305" s="922"/>
      <c r="B305" s="923"/>
      <c r="C305" s="923"/>
      <c r="D305" s="923"/>
      <c r="E305" s="923"/>
    </row>
    <row r="306" spans="1:5" x14ac:dyDescent="0.25">
      <c r="A306" s="922"/>
      <c r="B306" s="923"/>
      <c r="C306" s="923"/>
      <c r="D306" s="923"/>
      <c r="E306" s="923"/>
    </row>
    <row r="307" spans="1:5" x14ac:dyDescent="0.25">
      <c r="A307" s="922"/>
      <c r="B307" s="923"/>
      <c r="C307" s="923"/>
      <c r="D307" s="923"/>
      <c r="E307" s="923"/>
    </row>
    <row r="308" spans="1:5" x14ac:dyDescent="0.25">
      <c r="A308" s="922"/>
      <c r="B308" s="923"/>
      <c r="C308" s="923"/>
      <c r="D308" s="923"/>
      <c r="E308" s="923"/>
    </row>
    <row r="309" spans="1:5" x14ac:dyDescent="0.25">
      <c r="A309" s="922"/>
      <c r="B309" s="923"/>
      <c r="C309" s="923"/>
      <c r="D309" s="923"/>
      <c r="E309" s="923"/>
    </row>
    <row r="310" spans="1:5" x14ac:dyDescent="0.25">
      <c r="A310" s="922"/>
      <c r="B310" s="923"/>
      <c r="C310" s="923"/>
      <c r="D310" s="923"/>
      <c r="E310" s="923"/>
    </row>
    <row r="311" spans="1:5" x14ac:dyDescent="0.25">
      <c r="A311" s="922"/>
      <c r="B311" s="923"/>
      <c r="C311" s="923"/>
      <c r="D311" s="923"/>
      <c r="E311" s="923"/>
    </row>
    <row r="312" spans="1:5" x14ac:dyDescent="0.25">
      <c r="A312" s="922"/>
      <c r="B312" s="923"/>
      <c r="C312" s="923"/>
      <c r="D312" s="923"/>
      <c r="E312" s="923"/>
    </row>
    <row r="313" spans="1:5" x14ac:dyDescent="0.25">
      <c r="A313" s="922"/>
      <c r="B313" s="923"/>
      <c r="C313" s="923"/>
      <c r="D313" s="923"/>
      <c r="E313" s="923"/>
    </row>
    <row r="314" spans="1:5" x14ac:dyDescent="0.25">
      <c r="A314" s="922"/>
      <c r="B314" s="923"/>
      <c r="C314" s="923"/>
      <c r="D314" s="923"/>
      <c r="E314" s="923"/>
    </row>
    <row r="315" spans="1:5" x14ac:dyDescent="0.25">
      <c r="A315" s="922"/>
      <c r="B315" s="923"/>
      <c r="C315" s="923"/>
      <c r="D315" s="923"/>
      <c r="E315" s="923"/>
    </row>
    <row r="316" spans="1:5" x14ac:dyDescent="0.25">
      <c r="A316" s="922"/>
      <c r="B316" s="923"/>
      <c r="C316" s="923"/>
      <c r="D316" s="923"/>
      <c r="E316" s="923"/>
    </row>
    <row r="317" spans="1:5" x14ac:dyDescent="0.25">
      <c r="A317" s="922"/>
      <c r="B317" s="923"/>
      <c r="C317" s="923"/>
      <c r="D317" s="923"/>
      <c r="E317" s="923"/>
    </row>
    <row r="318" spans="1:5" x14ac:dyDescent="0.25">
      <c r="A318" s="922"/>
      <c r="B318" s="923"/>
      <c r="C318" s="923"/>
      <c r="D318" s="923"/>
      <c r="E318" s="923"/>
    </row>
    <row r="319" spans="1:5" x14ac:dyDescent="0.25">
      <c r="A319" s="922"/>
      <c r="B319" s="923"/>
      <c r="C319" s="923"/>
      <c r="D319" s="923"/>
      <c r="E319" s="923"/>
    </row>
    <row r="320" spans="1:5" x14ac:dyDescent="0.25">
      <c r="A320" s="922"/>
      <c r="B320" s="923"/>
      <c r="C320" s="923"/>
      <c r="D320" s="923"/>
      <c r="E320" s="923"/>
    </row>
    <row r="321" spans="1:5" x14ac:dyDescent="0.25">
      <c r="A321" s="922"/>
      <c r="B321" s="923"/>
      <c r="C321" s="923"/>
      <c r="D321" s="923"/>
      <c r="E321" s="923"/>
    </row>
    <row r="322" spans="1:5" x14ac:dyDescent="0.25">
      <c r="A322" s="922"/>
      <c r="B322" s="923"/>
      <c r="C322" s="923"/>
      <c r="D322" s="923"/>
      <c r="E322" s="923"/>
    </row>
    <row r="323" spans="1:5" x14ac:dyDescent="0.25">
      <c r="A323" s="922"/>
      <c r="B323" s="923"/>
      <c r="C323" s="923"/>
      <c r="D323" s="923"/>
      <c r="E323" s="923"/>
    </row>
    <row r="324" spans="1:5" x14ac:dyDescent="0.25">
      <c r="A324" s="922"/>
      <c r="B324" s="923"/>
      <c r="C324" s="923"/>
      <c r="D324" s="923"/>
      <c r="E324" s="923"/>
    </row>
    <row r="325" spans="1:5" x14ac:dyDescent="0.25">
      <c r="A325" s="922"/>
      <c r="B325" s="923"/>
      <c r="C325" s="923"/>
      <c r="D325" s="923"/>
      <c r="E325" s="923"/>
    </row>
    <row r="326" spans="1:5" x14ac:dyDescent="0.25">
      <c r="A326" s="922"/>
      <c r="B326" s="923"/>
      <c r="C326" s="923"/>
      <c r="D326" s="923"/>
      <c r="E326" s="923"/>
    </row>
    <row r="327" spans="1:5" x14ac:dyDescent="0.25">
      <c r="A327" s="922"/>
      <c r="B327" s="923"/>
      <c r="C327" s="923"/>
      <c r="D327" s="923"/>
      <c r="E327" s="923"/>
    </row>
    <row r="328" spans="1:5" x14ac:dyDescent="0.25">
      <c r="A328" s="922"/>
      <c r="B328" s="923"/>
      <c r="C328" s="923"/>
      <c r="D328" s="923"/>
      <c r="E328" s="923"/>
    </row>
    <row r="329" spans="1:5" x14ac:dyDescent="0.25">
      <c r="A329" s="922"/>
      <c r="B329" s="923"/>
      <c r="C329" s="923"/>
      <c r="D329" s="923"/>
      <c r="E329" s="923"/>
    </row>
    <row r="330" spans="1:5" x14ac:dyDescent="0.25">
      <c r="A330" s="922"/>
      <c r="B330" s="923"/>
      <c r="C330" s="923"/>
      <c r="D330" s="923"/>
      <c r="E330" s="923"/>
    </row>
    <row r="331" spans="1:5" x14ac:dyDescent="0.25">
      <c r="A331" s="922"/>
      <c r="B331" s="923"/>
      <c r="C331" s="923"/>
      <c r="D331" s="923"/>
      <c r="E331" s="923"/>
    </row>
    <row r="332" spans="1:5" x14ac:dyDescent="0.25">
      <c r="A332" s="922"/>
      <c r="B332" s="923"/>
      <c r="C332" s="923"/>
      <c r="D332" s="923"/>
      <c r="E332" s="923"/>
    </row>
    <row r="333" spans="1:5" x14ac:dyDescent="0.25">
      <c r="A333" s="922"/>
      <c r="B333" s="923"/>
      <c r="C333" s="923"/>
      <c r="D333" s="923"/>
      <c r="E333" s="923"/>
    </row>
    <row r="334" spans="1:5" x14ac:dyDescent="0.25">
      <c r="A334" s="922"/>
      <c r="B334" s="923"/>
      <c r="C334" s="923"/>
      <c r="D334" s="923"/>
      <c r="E334" s="923"/>
    </row>
    <row r="335" spans="1:5" x14ac:dyDescent="0.25">
      <c r="A335" s="922"/>
      <c r="B335" s="923"/>
      <c r="C335" s="923"/>
      <c r="D335" s="923"/>
      <c r="E335" s="923"/>
    </row>
    <row r="336" spans="1:5" x14ac:dyDescent="0.25">
      <c r="A336" s="922"/>
      <c r="B336" s="923"/>
      <c r="C336" s="923"/>
      <c r="D336" s="923"/>
      <c r="E336" s="923"/>
    </row>
    <row r="337" spans="1:5" x14ac:dyDescent="0.25">
      <c r="A337" s="922"/>
      <c r="B337" s="923"/>
      <c r="C337" s="923"/>
      <c r="D337" s="923"/>
      <c r="E337" s="923"/>
    </row>
    <row r="338" spans="1:5" x14ac:dyDescent="0.25">
      <c r="A338" s="922"/>
      <c r="B338" s="923"/>
      <c r="C338" s="923"/>
      <c r="D338" s="923"/>
      <c r="E338" s="923"/>
    </row>
    <row r="339" spans="1:5" x14ac:dyDescent="0.25">
      <c r="A339" s="922"/>
      <c r="B339" s="923"/>
      <c r="C339" s="923"/>
      <c r="D339" s="923"/>
      <c r="E339" s="923"/>
    </row>
    <row r="340" spans="1:5" x14ac:dyDescent="0.25">
      <c r="A340" s="922"/>
      <c r="B340" s="923"/>
      <c r="C340" s="923"/>
      <c r="D340" s="923"/>
      <c r="E340" s="923"/>
    </row>
    <row r="341" spans="1:5" x14ac:dyDescent="0.25">
      <c r="A341" s="922"/>
      <c r="B341" s="923"/>
      <c r="C341" s="923"/>
      <c r="D341" s="923"/>
      <c r="E341" s="923"/>
    </row>
    <row r="342" spans="1:5" x14ac:dyDescent="0.25">
      <c r="A342" s="922"/>
      <c r="B342" s="923"/>
      <c r="C342" s="923"/>
      <c r="D342" s="923"/>
      <c r="E342" s="923"/>
    </row>
    <row r="343" spans="1:5" x14ac:dyDescent="0.25">
      <c r="A343" s="922"/>
      <c r="B343" s="923"/>
      <c r="C343" s="923"/>
      <c r="D343" s="923"/>
      <c r="E343" s="923"/>
    </row>
    <row r="344" spans="1:5" x14ac:dyDescent="0.25">
      <c r="A344" s="922"/>
      <c r="B344" s="923"/>
      <c r="C344" s="923"/>
      <c r="D344" s="923"/>
      <c r="E344" s="923"/>
    </row>
    <row r="345" spans="1:5" x14ac:dyDescent="0.25">
      <c r="A345" s="922"/>
      <c r="B345" s="923"/>
      <c r="C345" s="923"/>
      <c r="D345" s="923"/>
      <c r="E345" s="923"/>
    </row>
    <row r="346" spans="1:5" x14ac:dyDescent="0.25">
      <c r="A346" s="922"/>
      <c r="B346" s="923"/>
      <c r="C346" s="923"/>
      <c r="D346" s="923"/>
      <c r="E346" s="923"/>
    </row>
    <row r="347" spans="1:5" x14ac:dyDescent="0.25">
      <c r="A347" s="922"/>
      <c r="B347" s="923"/>
      <c r="C347" s="923"/>
      <c r="D347" s="923"/>
      <c r="E347" s="923"/>
    </row>
    <row r="348" spans="1:5" x14ac:dyDescent="0.25">
      <c r="A348" s="922"/>
      <c r="B348" s="923"/>
      <c r="C348" s="923"/>
      <c r="D348" s="923"/>
      <c r="E348" s="923"/>
    </row>
    <row r="349" spans="1:5" x14ac:dyDescent="0.25">
      <c r="A349" s="922"/>
      <c r="B349" s="923"/>
      <c r="C349" s="923"/>
      <c r="D349" s="923"/>
      <c r="E349" s="923"/>
    </row>
    <row r="350" spans="1:5" x14ac:dyDescent="0.25">
      <c r="A350" s="922"/>
      <c r="B350" s="923"/>
      <c r="C350" s="923"/>
      <c r="D350" s="923"/>
      <c r="E350" s="923"/>
    </row>
    <row r="351" spans="1:5" x14ac:dyDescent="0.25">
      <c r="A351" s="922"/>
      <c r="B351" s="923"/>
      <c r="C351" s="923"/>
      <c r="D351" s="923"/>
      <c r="E351" s="923"/>
    </row>
    <row r="352" spans="1:5" x14ac:dyDescent="0.25">
      <c r="A352" s="922"/>
      <c r="B352" s="923"/>
      <c r="C352" s="923"/>
      <c r="D352" s="923"/>
      <c r="E352" s="923"/>
    </row>
    <row r="353" spans="1:5" x14ac:dyDescent="0.25">
      <c r="A353" s="922"/>
      <c r="B353" s="923"/>
      <c r="C353" s="923"/>
      <c r="D353" s="923"/>
      <c r="E353" s="923"/>
    </row>
    <row r="354" spans="1:5" x14ac:dyDescent="0.25">
      <c r="A354" s="922"/>
      <c r="B354" s="923"/>
      <c r="C354" s="923"/>
      <c r="D354" s="923"/>
      <c r="E354" s="923"/>
    </row>
    <row r="355" spans="1:5" x14ac:dyDescent="0.25">
      <c r="A355" s="922"/>
      <c r="B355" s="923"/>
      <c r="C355" s="923"/>
      <c r="D355" s="923"/>
      <c r="E355" s="923"/>
    </row>
    <row r="356" spans="1:5" x14ac:dyDescent="0.25">
      <c r="A356" s="922"/>
      <c r="B356" s="923"/>
      <c r="C356" s="923"/>
      <c r="D356" s="923"/>
      <c r="E356" s="923"/>
    </row>
    <row r="357" spans="1:5" x14ac:dyDescent="0.25">
      <c r="A357" s="922"/>
      <c r="B357" s="923"/>
      <c r="C357" s="923"/>
      <c r="D357" s="923"/>
      <c r="E357" s="923"/>
    </row>
    <row r="358" spans="1:5" x14ac:dyDescent="0.25">
      <c r="A358" s="922"/>
      <c r="B358" s="923"/>
      <c r="C358" s="923"/>
      <c r="D358" s="923"/>
      <c r="E358" s="923"/>
    </row>
    <row r="359" spans="1:5" x14ac:dyDescent="0.25">
      <c r="A359" s="922"/>
      <c r="B359" s="923"/>
      <c r="C359" s="923"/>
      <c r="D359" s="923"/>
      <c r="E359" s="923"/>
    </row>
    <row r="360" spans="1:5" x14ac:dyDescent="0.25">
      <c r="A360" s="922"/>
      <c r="B360" s="923"/>
      <c r="C360" s="923"/>
      <c r="D360" s="923"/>
      <c r="E360" s="923"/>
    </row>
    <row r="361" spans="1:5" x14ac:dyDescent="0.25">
      <c r="A361" s="922"/>
      <c r="B361" s="923"/>
      <c r="C361" s="923"/>
      <c r="D361" s="923"/>
      <c r="E361" s="923"/>
    </row>
    <row r="362" spans="1:5" x14ac:dyDescent="0.25">
      <c r="A362" s="922"/>
      <c r="B362" s="923"/>
      <c r="C362" s="923"/>
      <c r="D362" s="923"/>
      <c r="E362" s="923"/>
    </row>
    <row r="363" spans="1:5" x14ac:dyDescent="0.25">
      <c r="A363" s="922"/>
      <c r="B363" s="923"/>
      <c r="C363" s="923"/>
      <c r="D363" s="923"/>
      <c r="E363" s="923"/>
    </row>
    <row r="364" spans="1:5" x14ac:dyDescent="0.25">
      <c r="A364" s="922"/>
      <c r="B364" s="923"/>
      <c r="C364" s="923"/>
      <c r="D364" s="923"/>
      <c r="E364" s="923"/>
    </row>
    <row r="365" spans="1:5" x14ac:dyDescent="0.25">
      <c r="A365" s="922"/>
      <c r="B365" s="923"/>
      <c r="C365" s="923"/>
      <c r="D365" s="923"/>
      <c r="E365" s="923"/>
    </row>
    <row r="366" spans="1:5" x14ac:dyDescent="0.25">
      <c r="A366" s="922"/>
      <c r="B366" s="923"/>
      <c r="C366" s="923"/>
      <c r="D366" s="923"/>
      <c r="E366" s="923"/>
    </row>
    <row r="367" spans="1:5" x14ac:dyDescent="0.25">
      <c r="A367" s="922"/>
      <c r="B367" s="923"/>
      <c r="C367" s="923"/>
      <c r="D367" s="923"/>
      <c r="E367" s="923"/>
    </row>
    <row r="368" spans="1:5" x14ac:dyDescent="0.25">
      <c r="A368" s="922"/>
      <c r="B368" s="923"/>
      <c r="C368" s="923"/>
      <c r="D368" s="923"/>
      <c r="E368" s="923"/>
    </row>
    <row r="369" spans="1:5" x14ac:dyDescent="0.25">
      <c r="A369" s="922"/>
      <c r="B369" s="923"/>
      <c r="C369" s="923"/>
      <c r="D369" s="923"/>
      <c r="E369" s="923"/>
    </row>
    <row r="370" spans="1:5" x14ac:dyDescent="0.25">
      <c r="A370" s="922"/>
      <c r="B370" s="923"/>
      <c r="C370" s="923"/>
      <c r="D370" s="923"/>
      <c r="E370" s="923"/>
    </row>
    <row r="371" spans="1:5" x14ac:dyDescent="0.25">
      <c r="A371" s="922"/>
      <c r="B371" s="923"/>
      <c r="C371" s="923"/>
      <c r="D371" s="923"/>
      <c r="E371" s="923"/>
    </row>
    <row r="372" spans="1:5" x14ac:dyDescent="0.25">
      <c r="A372" s="922"/>
      <c r="B372" s="923"/>
      <c r="C372" s="923"/>
      <c r="D372" s="923"/>
      <c r="E372" s="923"/>
    </row>
    <row r="373" spans="1:5" x14ac:dyDescent="0.25">
      <c r="A373" s="922"/>
      <c r="B373" s="923"/>
      <c r="C373" s="923"/>
      <c r="D373" s="923"/>
      <c r="E373" s="923"/>
    </row>
    <row r="374" spans="1:5" x14ac:dyDescent="0.25">
      <c r="A374" s="922"/>
      <c r="B374" s="923"/>
      <c r="C374" s="923"/>
      <c r="D374" s="923"/>
      <c r="E374" s="923"/>
    </row>
    <row r="375" spans="1:5" x14ac:dyDescent="0.25">
      <c r="A375" s="922"/>
      <c r="B375" s="923"/>
      <c r="C375" s="923"/>
      <c r="D375" s="923"/>
      <c r="E375" s="923"/>
    </row>
    <row r="376" spans="1:5" x14ac:dyDescent="0.25">
      <c r="A376" s="922"/>
      <c r="B376" s="923"/>
      <c r="C376" s="923"/>
      <c r="D376" s="923"/>
      <c r="E376" s="923"/>
    </row>
    <row r="377" spans="1:5" x14ac:dyDescent="0.25">
      <c r="A377" s="922"/>
      <c r="B377" s="923"/>
      <c r="C377" s="923"/>
      <c r="D377" s="923"/>
      <c r="E377" s="923"/>
    </row>
    <row r="378" spans="1:5" x14ac:dyDescent="0.25">
      <c r="A378" s="922"/>
      <c r="B378" s="923"/>
      <c r="C378" s="923"/>
      <c r="D378" s="923"/>
      <c r="E378" s="923"/>
    </row>
    <row r="379" spans="1:5" x14ac:dyDescent="0.25">
      <c r="A379" s="922"/>
      <c r="B379" s="923"/>
      <c r="C379" s="923"/>
      <c r="D379" s="923"/>
      <c r="E379" s="923"/>
    </row>
    <row r="380" spans="1:5" x14ac:dyDescent="0.25">
      <c r="A380" s="922"/>
      <c r="B380" s="923"/>
      <c r="C380" s="923"/>
      <c r="D380" s="923"/>
      <c r="E380" s="923"/>
    </row>
    <row r="381" spans="1:5" x14ac:dyDescent="0.25">
      <c r="A381" s="922"/>
      <c r="B381" s="923"/>
      <c r="C381" s="923"/>
      <c r="D381" s="923"/>
      <c r="E381" s="923"/>
    </row>
    <row r="382" spans="1:5" x14ac:dyDescent="0.25">
      <c r="A382" s="922"/>
      <c r="B382" s="923"/>
      <c r="C382" s="923"/>
      <c r="D382" s="923"/>
      <c r="E382" s="923"/>
    </row>
    <row r="383" spans="1:5" x14ac:dyDescent="0.25">
      <c r="A383" s="922"/>
      <c r="B383" s="923"/>
      <c r="C383" s="923"/>
      <c r="D383" s="923"/>
      <c r="E383" s="923"/>
    </row>
    <row r="384" spans="1:5" x14ac:dyDescent="0.25">
      <c r="A384" s="922"/>
      <c r="B384" s="923"/>
      <c r="C384" s="923"/>
      <c r="D384" s="923"/>
      <c r="E384" s="923"/>
    </row>
    <row r="385" spans="1:5" x14ac:dyDescent="0.25">
      <c r="A385" s="922"/>
      <c r="B385" s="923"/>
      <c r="C385" s="923"/>
      <c r="D385" s="923"/>
      <c r="E385" s="923"/>
    </row>
    <row r="386" spans="1:5" x14ac:dyDescent="0.25">
      <c r="A386" s="922"/>
      <c r="B386" s="923"/>
      <c r="C386" s="923"/>
      <c r="D386" s="923"/>
      <c r="E386" s="923"/>
    </row>
    <row r="387" spans="1:5" x14ac:dyDescent="0.25">
      <c r="A387" s="922"/>
      <c r="B387" s="923"/>
      <c r="C387" s="923"/>
      <c r="D387" s="923"/>
      <c r="E387" s="923"/>
    </row>
    <row r="388" spans="1:5" x14ac:dyDescent="0.25">
      <c r="A388" s="922"/>
      <c r="B388" s="923"/>
      <c r="C388" s="923"/>
      <c r="D388" s="923"/>
      <c r="E388" s="923"/>
    </row>
    <row r="389" spans="1:5" x14ac:dyDescent="0.25">
      <c r="A389" s="922"/>
      <c r="B389" s="923"/>
      <c r="C389" s="923"/>
      <c r="D389" s="923"/>
      <c r="E389" s="923"/>
    </row>
    <row r="390" spans="1:5" x14ac:dyDescent="0.25">
      <c r="A390" s="922"/>
      <c r="B390" s="923"/>
      <c r="C390" s="923"/>
      <c r="D390" s="923"/>
      <c r="E390" s="923"/>
    </row>
    <row r="391" spans="1:5" x14ac:dyDescent="0.25">
      <c r="A391" s="922"/>
      <c r="B391" s="923"/>
      <c r="C391" s="923"/>
      <c r="D391" s="923"/>
      <c r="E391" s="923"/>
    </row>
    <row r="392" spans="1:5" x14ac:dyDescent="0.25">
      <c r="A392" s="922"/>
      <c r="B392" s="923"/>
      <c r="C392" s="923"/>
      <c r="D392" s="923"/>
      <c r="E392" s="923"/>
    </row>
    <row r="393" spans="1:5" x14ac:dyDescent="0.25">
      <c r="A393" s="922"/>
      <c r="B393" s="923"/>
      <c r="C393" s="923"/>
      <c r="D393" s="923"/>
      <c r="E393" s="923"/>
    </row>
    <row r="394" spans="1:5" x14ac:dyDescent="0.25">
      <c r="A394" s="922"/>
      <c r="B394" s="923"/>
      <c r="C394" s="923"/>
      <c r="D394" s="923"/>
      <c r="E394" s="923"/>
    </row>
    <row r="395" spans="1:5" x14ac:dyDescent="0.25">
      <c r="A395" s="922"/>
      <c r="B395" s="923"/>
      <c r="C395" s="923"/>
      <c r="D395" s="923"/>
      <c r="E395" s="923"/>
    </row>
    <row r="396" spans="1:5" x14ac:dyDescent="0.25">
      <c r="A396" s="922"/>
      <c r="B396" s="923"/>
      <c r="C396" s="923"/>
      <c r="D396" s="923"/>
      <c r="E396" s="923"/>
    </row>
    <row r="397" spans="1:5" x14ac:dyDescent="0.25">
      <c r="A397" s="922"/>
      <c r="B397" s="923"/>
      <c r="C397" s="923"/>
      <c r="D397" s="923"/>
      <c r="E397" s="923"/>
    </row>
    <row r="398" spans="1:5" x14ac:dyDescent="0.25">
      <c r="A398" s="922"/>
      <c r="B398" s="923"/>
      <c r="C398" s="923"/>
      <c r="D398" s="923"/>
      <c r="E398" s="923"/>
    </row>
    <row r="399" spans="1:5" x14ac:dyDescent="0.25">
      <c r="A399" s="922"/>
      <c r="B399" s="923"/>
      <c r="C399" s="923"/>
      <c r="D399" s="923"/>
      <c r="E399" s="923"/>
    </row>
    <row r="400" spans="1:5" x14ac:dyDescent="0.25">
      <c r="A400" s="922"/>
      <c r="B400" s="923"/>
      <c r="C400" s="923"/>
      <c r="D400" s="923"/>
      <c r="E400" s="923"/>
    </row>
    <row r="401" spans="1:5" x14ac:dyDescent="0.25">
      <c r="A401" s="922"/>
      <c r="B401" s="923"/>
      <c r="C401" s="923"/>
      <c r="D401" s="923"/>
      <c r="E401" s="923"/>
    </row>
    <row r="402" spans="1:5" x14ac:dyDescent="0.25">
      <c r="A402" s="922"/>
      <c r="B402" s="923"/>
      <c r="C402" s="923"/>
      <c r="D402" s="923"/>
      <c r="E402" s="923"/>
    </row>
    <row r="403" spans="1:5" x14ac:dyDescent="0.25">
      <c r="A403" s="922"/>
      <c r="B403" s="923"/>
      <c r="C403" s="923"/>
      <c r="D403" s="923"/>
      <c r="E403" s="923"/>
    </row>
    <row r="404" spans="1:5" x14ac:dyDescent="0.25">
      <c r="A404" s="922"/>
      <c r="B404" s="923"/>
      <c r="C404" s="923"/>
      <c r="D404" s="923"/>
      <c r="E404" s="923"/>
    </row>
    <row r="405" spans="1:5" x14ac:dyDescent="0.25">
      <c r="A405" s="922"/>
      <c r="B405" s="923"/>
      <c r="C405" s="923"/>
      <c r="D405" s="923"/>
      <c r="E405" s="923"/>
    </row>
    <row r="406" spans="1:5" x14ac:dyDescent="0.25">
      <c r="A406" s="922"/>
      <c r="B406" s="923"/>
      <c r="C406" s="923"/>
      <c r="D406" s="923"/>
      <c r="E406" s="923"/>
    </row>
    <row r="407" spans="1:5" x14ac:dyDescent="0.25">
      <c r="A407" s="922"/>
      <c r="B407" s="923"/>
      <c r="C407" s="923"/>
      <c r="D407" s="923"/>
      <c r="E407" s="923"/>
    </row>
    <row r="408" spans="1:5" x14ac:dyDescent="0.25">
      <c r="A408" s="922"/>
      <c r="B408" s="923"/>
      <c r="C408" s="923"/>
      <c r="D408" s="923"/>
      <c r="E408" s="923"/>
    </row>
    <row r="409" spans="1:5" x14ac:dyDescent="0.25">
      <c r="A409" s="922"/>
      <c r="B409" s="923"/>
      <c r="C409" s="923"/>
      <c r="D409" s="923"/>
      <c r="E409" s="923"/>
    </row>
    <row r="410" spans="1:5" x14ac:dyDescent="0.25">
      <c r="A410" s="922"/>
      <c r="B410" s="923"/>
      <c r="C410" s="923"/>
      <c r="D410" s="923"/>
      <c r="E410" s="923"/>
    </row>
    <row r="411" spans="1:5" x14ac:dyDescent="0.25">
      <c r="A411" s="922"/>
      <c r="B411" s="923"/>
      <c r="C411" s="923"/>
      <c r="D411" s="923"/>
      <c r="E411" s="923"/>
    </row>
    <row r="412" spans="1:5" x14ac:dyDescent="0.25">
      <c r="A412" s="922"/>
      <c r="B412" s="923"/>
      <c r="C412" s="923"/>
      <c r="D412" s="923"/>
      <c r="E412" s="923"/>
    </row>
    <row r="413" spans="1:5" x14ac:dyDescent="0.25">
      <c r="A413" s="922"/>
      <c r="B413" s="923"/>
      <c r="C413" s="923"/>
      <c r="D413" s="923"/>
      <c r="E413" s="923"/>
    </row>
    <row r="414" spans="1:5" x14ac:dyDescent="0.25">
      <c r="A414" s="922"/>
      <c r="B414" s="923"/>
      <c r="C414" s="923"/>
      <c r="D414" s="923"/>
      <c r="E414" s="923"/>
    </row>
    <row r="415" spans="1:5" x14ac:dyDescent="0.25">
      <c r="A415" s="922"/>
      <c r="B415" s="923"/>
      <c r="C415" s="923"/>
      <c r="D415" s="923"/>
      <c r="E415" s="923"/>
    </row>
    <row r="416" spans="1:5" x14ac:dyDescent="0.25">
      <c r="A416" s="922"/>
      <c r="B416" s="923"/>
      <c r="C416" s="923"/>
      <c r="D416" s="923"/>
      <c r="E416" s="923"/>
    </row>
    <row r="417" spans="1:5" x14ac:dyDescent="0.25">
      <c r="A417" s="922"/>
      <c r="B417" s="923"/>
      <c r="C417" s="923"/>
      <c r="D417" s="923"/>
      <c r="E417" s="923"/>
    </row>
    <row r="418" spans="1:5" x14ac:dyDescent="0.25">
      <c r="A418" s="922"/>
      <c r="B418" s="923"/>
      <c r="C418" s="923"/>
      <c r="D418" s="923"/>
      <c r="E418" s="923"/>
    </row>
    <row r="419" spans="1:5" x14ac:dyDescent="0.25">
      <c r="A419" s="922"/>
      <c r="B419" s="923"/>
      <c r="C419" s="923"/>
      <c r="D419" s="923"/>
      <c r="E419" s="923"/>
    </row>
    <row r="420" spans="1:5" x14ac:dyDescent="0.25">
      <c r="A420" s="922"/>
      <c r="B420" s="923"/>
      <c r="C420" s="923"/>
      <c r="D420" s="923"/>
      <c r="E420" s="923"/>
    </row>
    <row r="421" spans="1:5" x14ac:dyDescent="0.25">
      <c r="A421" s="922"/>
      <c r="B421" s="923"/>
      <c r="C421" s="923"/>
      <c r="D421" s="923"/>
      <c r="E421" s="923"/>
    </row>
    <row r="422" spans="1:5" x14ac:dyDescent="0.25">
      <c r="A422" s="922"/>
      <c r="B422" s="923"/>
      <c r="C422" s="923"/>
      <c r="D422" s="923"/>
      <c r="E422" s="923"/>
    </row>
    <row r="423" spans="1:5" x14ac:dyDescent="0.25">
      <c r="A423" s="922"/>
      <c r="B423" s="923"/>
      <c r="C423" s="923"/>
      <c r="D423" s="923"/>
      <c r="E423" s="923"/>
    </row>
    <row r="424" spans="1:5" x14ac:dyDescent="0.25">
      <c r="A424" s="922"/>
      <c r="B424" s="923"/>
      <c r="C424" s="923"/>
      <c r="D424" s="923"/>
      <c r="E424" s="923"/>
    </row>
    <row r="425" spans="1:5" x14ac:dyDescent="0.25">
      <c r="A425" s="922"/>
      <c r="B425" s="923"/>
      <c r="C425" s="923"/>
      <c r="D425" s="923"/>
      <c r="E425" s="923"/>
    </row>
    <row r="426" spans="1:5" x14ac:dyDescent="0.25">
      <c r="A426" s="922"/>
      <c r="B426" s="923"/>
      <c r="C426" s="923"/>
      <c r="D426" s="923"/>
      <c r="E426" s="923"/>
    </row>
    <row r="427" spans="1:5" x14ac:dyDescent="0.25">
      <c r="A427" s="922"/>
      <c r="B427" s="923"/>
      <c r="C427" s="923"/>
      <c r="D427" s="923"/>
      <c r="E427" s="923"/>
    </row>
    <row r="428" spans="1:5" x14ac:dyDescent="0.25">
      <c r="A428" s="922"/>
      <c r="B428" s="923"/>
      <c r="C428" s="923"/>
      <c r="D428" s="923"/>
      <c r="E428" s="923"/>
    </row>
    <row r="429" spans="1:5" x14ac:dyDescent="0.25">
      <c r="A429" s="922"/>
      <c r="B429" s="923"/>
      <c r="C429" s="923"/>
      <c r="D429" s="923"/>
      <c r="E429" s="923"/>
    </row>
    <row r="430" spans="1:5" x14ac:dyDescent="0.25">
      <c r="A430" s="922"/>
      <c r="B430" s="923"/>
      <c r="C430" s="923"/>
      <c r="D430" s="923"/>
      <c r="E430" s="923"/>
    </row>
    <row r="431" spans="1:5" x14ac:dyDescent="0.25">
      <c r="A431" s="922"/>
      <c r="B431" s="923"/>
      <c r="C431" s="923"/>
      <c r="D431" s="923"/>
      <c r="E431" s="923"/>
    </row>
    <row r="432" spans="1:5" x14ac:dyDescent="0.25">
      <c r="A432" s="922"/>
      <c r="B432" s="923"/>
      <c r="C432" s="923"/>
      <c r="D432" s="923"/>
      <c r="E432" s="923"/>
    </row>
    <row r="433" spans="1:5" x14ac:dyDescent="0.25">
      <c r="A433" s="922"/>
      <c r="B433" s="923"/>
      <c r="C433" s="923"/>
      <c r="D433" s="923"/>
      <c r="E433" s="923"/>
    </row>
    <row r="434" spans="1:5" x14ac:dyDescent="0.25">
      <c r="A434" s="922"/>
      <c r="B434" s="923"/>
      <c r="C434" s="923"/>
      <c r="D434" s="923"/>
      <c r="E434" s="923"/>
    </row>
    <row r="435" spans="1:5" x14ac:dyDescent="0.25">
      <c r="A435" s="922"/>
      <c r="B435" s="923"/>
      <c r="C435" s="923"/>
      <c r="D435" s="923"/>
      <c r="E435" s="923"/>
    </row>
    <row r="436" spans="1:5" x14ac:dyDescent="0.25">
      <c r="A436" s="922"/>
      <c r="B436" s="923"/>
      <c r="C436" s="923"/>
      <c r="D436" s="923"/>
      <c r="E436" s="923"/>
    </row>
    <row r="437" spans="1:5" x14ac:dyDescent="0.25">
      <c r="A437" s="922"/>
      <c r="B437" s="923"/>
      <c r="C437" s="923"/>
      <c r="D437" s="923"/>
      <c r="E437" s="923"/>
    </row>
    <row r="438" spans="1:5" x14ac:dyDescent="0.25">
      <c r="A438" s="922"/>
      <c r="B438" s="923"/>
      <c r="C438" s="923"/>
      <c r="D438" s="923"/>
      <c r="E438" s="923"/>
    </row>
    <row r="439" spans="1:5" x14ac:dyDescent="0.25">
      <c r="A439" s="922"/>
      <c r="B439" s="923"/>
      <c r="C439" s="923"/>
      <c r="D439" s="923"/>
      <c r="E439" s="923"/>
    </row>
    <row r="440" spans="1:5" x14ac:dyDescent="0.25">
      <c r="A440" s="922"/>
      <c r="B440" s="923"/>
      <c r="C440" s="923"/>
      <c r="D440" s="923"/>
      <c r="E440" s="923"/>
    </row>
    <row r="441" spans="1:5" x14ac:dyDescent="0.25">
      <c r="A441" s="922"/>
      <c r="B441" s="923"/>
      <c r="C441" s="923"/>
      <c r="D441" s="923"/>
      <c r="E441" s="923"/>
    </row>
    <row r="442" spans="1:5" x14ac:dyDescent="0.25">
      <c r="A442" s="922"/>
      <c r="B442" s="923"/>
      <c r="C442" s="923"/>
      <c r="D442" s="923"/>
      <c r="E442" s="923"/>
    </row>
    <row r="443" spans="1:5" x14ac:dyDescent="0.25">
      <c r="A443" s="922"/>
      <c r="B443" s="923"/>
      <c r="C443" s="923"/>
      <c r="D443" s="923"/>
      <c r="E443" s="923"/>
    </row>
    <row r="444" spans="1:5" x14ac:dyDescent="0.25">
      <c r="A444" s="922"/>
      <c r="B444" s="923"/>
      <c r="C444" s="923"/>
      <c r="D444" s="923"/>
      <c r="E444" s="923"/>
    </row>
    <row r="445" spans="1:5" x14ac:dyDescent="0.25">
      <c r="A445" s="922"/>
      <c r="B445" s="923"/>
      <c r="C445" s="923"/>
      <c r="D445" s="923"/>
      <c r="E445" s="923"/>
    </row>
    <row r="446" spans="1:5" x14ac:dyDescent="0.25">
      <c r="A446" s="922"/>
      <c r="B446" s="923"/>
      <c r="C446" s="923"/>
      <c r="D446" s="923"/>
      <c r="E446" s="923"/>
    </row>
    <row r="447" spans="1:5" x14ac:dyDescent="0.25">
      <c r="A447" s="922"/>
      <c r="B447" s="923"/>
      <c r="C447" s="923"/>
      <c r="D447" s="923"/>
      <c r="E447" s="923"/>
    </row>
    <row r="448" spans="1:5" x14ac:dyDescent="0.25">
      <c r="A448" s="922"/>
      <c r="B448" s="923"/>
      <c r="C448" s="923"/>
      <c r="D448" s="923"/>
      <c r="E448" s="923"/>
    </row>
    <row r="449" spans="1:5" x14ac:dyDescent="0.25">
      <c r="A449" s="922"/>
      <c r="B449" s="923"/>
      <c r="C449" s="923"/>
      <c r="D449" s="923"/>
      <c r="E449" s="923"/>
    </row>
    <row r="450" spans="1:5" x14ac:dyDescent="0.25">
      <c r="A450" s="922"/>
      <c r="B450" s="923"/>
      <c r="C450" s="923"/>
      <c r="D450" s="923"/>
      <c r="E450" s="923"/>
    </row>
    <row r="451" spans="1:5" x14ac:dyDescent="0.25">
      <c r="A451" s="922"/>
      <c r="B451" s="923"/>
      <c r="C451" s="923"/>
      <c r="D451" s="923"/>
      <c r="E451" s="923"/>
    </row>
    <row r="452" spans="1:5" x14ac:dyDescent="0.25">
      <c r="A452" s="922"/>
      <c r="B452" s="923"/>
      <c r="C452" s="923"/>
      <c r="D452" s="923"/>
      <c r="E452" s="923"/>
    </row>
    <row r="453" spans="1:5" x14ac:dyDescent="0.25">
      <c r="A453" s="922"/>
      <c r="B453" s="923"/>
      <c r="C453" s="923"/>
      <c r="D453" s="923"/>
      <c r="E453" s="923"/>
    </row>
    <row r="454" spans="1:5" x14ac:dyDescent="0.25">
      <c r="A454" s="922"/>
      <c r="B454" s="923"/>
      <c r="C454" s="923"/>
      <c r="D454" s="923"/>
      <c r="E454" s="923"/>
    </row>
    <row r="455" spans="1:5" x14ac:dyDescent="0.25">
      <c r="A455" s="922"/>
      <c r="B455" s="923"/>
      <c r="C455" s="923"/>
      <c r="D455" s="923"/>
      <c r="E455" s="923"/>
    </row>
    <row r="456" spans="1:5" x14ac:dyDescent="0.25">
      <c r="A456" s="922"/>
      <c r="B456" s="923"/>
      <c r="C456" s="923"/>
      <c r="D456" s="923"/>
      <c r="E456" s="923"/>
    </row>
    <row r="457" spans="1:5" x14ac:dyDescent="0.25">
      <c r="A457" s="922"/>
      <c r="B457" s="923"/>
      <c r="C457" s="923"/>
      <c r="D457" s="923"/>
      <c r="E457" s="923"/>
    </row>
    <row r="458" spans="1:5" x14ac:dyDescent="0.25">
      <c r="A458" s="922"/>
      <c r="B458" s="923"/>
      <c r="C458" s="923"/>
      <c r="D458" s="923"/>
      <c r="E458" s="923"/>
    </row>
    <row r="459" spans="1:5" x14ac:dyDescent="0.25">
      <c r="A459" s="922"/>
      <c r="B459" s="923"/>
      <c r="C459" s="923"/>
      <c r="D459" s="923"/>
      <c r="E459" s="923"/>
    </row>
    <row r="460" spans="1:5" x14ac:dyDescent="0.25">
      <c r="A460" s="922"/>
      <c r="B460" s="923"/>
      <c r="C460" s="923"/>
      <c r="D460" s="923"/>
      <c r="E460" s="923"/>
    </row>
    <row r="461" spans="1:5" x14ac:dyDescent="0.25">
      <c r="A461" s="922"/>
      <c r="B461" s="923"/>
      <c r="C461" s="923"/>
      <c r="D461" s="923"/>
      <c r="E461" s="923"/>
    </row>
    <row r="462" spans="1:5" x14ac:dyDescent="0.25">
      <c r="A462" s="922"/>
      <c r="B462" s="923"/>
      <c r="C462" s="923"/>
      <c r="D462" s="923"/>
      <c r="E462" s="923"/>
    </row>
    <row r="463" spans="1:5" x14ac:dyDescent="0.25">
      <c r="A463" s="922"/>
      <c r="B463" s="923"/>
      <c r="C463" s="923"/>
      <c r="D463" s="923"/>
      <c r="E463" s="923"/>
    </row>
    <row r="464" spans="1:5" x14ac:dyDescent="0.25">
      <c r="A464" s="922"/>
      <c r="B464" s="923"/>
      <c r="C464" s="923"/>
      <c r="D464" s="923"/>
      <c r="E464" s="923"/>
    </row>
    <row r="465" spans="1:5" x14ac:dyDescent="0.25">
      <c r="A465" s="922"/>
      <c r="B465" s="923"/>
      <c r="C465" s="923"/>
      <c r="D465" s="923"/>
      <c r="E465" s="923"/>
    </row>
    <row r="466" spans="1:5" x14ac:dyDescent="0.25">
      <c r="A466" s="922"/>
      <c r="B466" s="923"/>
      <c r="C466" s="923"/>
      <c r="D466" s="923"/>
      <c r="E466" s="923"/>
    </row>
    <row r="467" spans="1:5" x14ac:dyDescent="0.25">
      <c r="A467" s="922"/>
      <c r="B467" s="923"/>
      <c r="C467" s="923"/>
      <c r="D467" s="923"/>
      <c r="E467" s="923"/>
    </row>
    <row r="468" spans="1:5" x14ac:dyDescent="0.25">
      <c r="A468" s="922"/>
      <c r="B468" s="923"/>
      <c r="C468" s="923"/>
      <c r="D468" s="923"/>
      <c r="E468" s="923"/>
    </row>
    <row r="469" spans="1:5" x14ac:dyDescent="0.25">
      <c r="A469" s="922"/>
      <c r="B469" s="923"/>
      <c r="C469" s="923"/>
      <c r="D469" s="923"/>
      <c r="E469" s="923"/>
    </row>
    <row r="470" spans="1:5" x14ac:dyDescent="0.25">
      <c r="A470" s="922"/>
      <c r="B470" s="923"/>
      <c r="C470" s="923"/>
      <c r="D470" s="923"/>
      <c r="E470" s="923"/>
    </row>
    <row r="471" spans="1:5" x14ac:dyDescent="0.25">
      <c r="A471" s="922"/>
      <c r="B471" s="923"/>
      <c r="C471" s="923"/>
      <c r="D471" s="923"/>
      <c r="E471" s="923"/>
    </row>
    <row r="472" spans="1:5" x14ac:dyDescent="0.25">
      <c r="A472" s="922"/>
      <c r="B472" s="923"/>
      <c r="C472" s="923"/>
      <c r="D472" s="923"/>
      <c r="E472" s="923"/>
    </row>
    <row r="473" spans="1:5" x14ac:dyDescent="0.25">
      <c r="A473" s="922"/>
      <c r="B473" s="923"/>
      <c r="C473" s="923"/>
      <c r="D473" s="923"/>
      <c r="E473" s="923"/>
    </row>
    <row r="474" spans="1:5" x14ac:dyDescent="0.25">
      <c r="A474" s="922"/>
      <c r="B474" s="923"/>
      <c r="C474" s="923"/>
      <c r="D474" s="923"/>
      <c r="E474" s="923"/>
    </row>
    <row r="475" spans="1:5" x14ac:dyDescent="0.25">
      <c r="A475" s="922"/>
      <c r="B475" s="923"/>
      <c r="C475" s="923"/>
      <c r="D475" s="923"/>
      <c r="E475" s="923"/>
    </row>
    <row r="476" spans="1:5" x14ac:dyDescent="0.25">
      <c r="A476" s="922"/>
      <c r="B476" s="923"/>
      <c r="C476" s="923"/>
      <c r="D476" s="923"/>
      <c r="E476" s="923"/>
    </row>
    <row r="477" spans="1:5" x14ac:dyDescent="0.25">
      <c r="A477" s="922"/>
      <c r="B477" s="923"/>
      <c r="C477" s="923"/>
      <c r="D477" s="923"/>
      <c r="E477" s="923"/>
    </row>
    <row r="478" spans="1:5" x14ac:dyDescent="0.25">
      <c r="A478" s="922"/>
      <c r="B478" s="923"/>
      <c r="C478" s="923"/>
      <c r="D478" s="923"/>
      <c r="E478" s="923"/>
    </row>
    <row r="479" spans="1:5" x14ac:dyDescent="0.25">
      <c r="A479" s="922"/>
      <c r="B479" s="923"/>
      <c r="C479" s="923"/>
      <c r="D479" s="923"/>
      <c r="E479" s="923"/>
    </row>
    <row r="480" spans="1:5" x14ac:dyDescent="0.25">
      <c r="A480" s="922"/>
      <c r="B480" s="923"/>
      <c r="C480" s="923"/>
      <c r="D480" s="923"/>
      <c r="E480" s="923"/>
    </row>
    <row r="481" spans="1:5" x14ac:dyDescent="0.25">
      <c r="A481" s="922"/>
      <c r="B481" s="923"/>
      <c r="C481" s="923"/>
      <c r="D481" s="923"/>
      <c r="E481" s="923"/>
    </row>
    <row r="482" spans="1:5" x14ac:dyDescent="0.25">
      <c r="A482" s="922"/>
      <c r="B482" s="923"/>
      <c r="C482" s="923"/>
      <c r="D482" s="923"/>
      <c r="E482" s="923"/>
    </row>
    <row r="483" spans="1:5" x14ac:dyDescent="0.25">
      <c r="A483" s="922"/>
      <c r="B483" s="923"/>
      <c r="C483" s="923"/>
      <c r="D483" s="923"/>
      <c r="E483" s="923"/>
    </row>
    <row r="484" spans="1:5" x14ac:dyDescent="0.25">
      <c r="A484" s="922"/>
      <c r="B484" s="923"/>
      <c r="C484" s="923"/>
      <c r="D484" s="923"/>
      <c r="E484" s="923"/>
    </row>
    <row r="485" spans="1:5" x14ac:dyDescent="0.25">
      <c r="A485" s="922"/>
      <c r="B485" s="923"/>
      <c r="C485" s="923"/>
      <c r="D485" s="923"/>
      <c r="E485" s="923"/>
    </row>
    <row r="486" spans="1:5" x14ac:dyDescent="0.25">
      <c r="A486" s="922"/>
      <c r="B486" s="923"/>
      <c r="C486" s="923"/>
      <c r="D486" s="923"/>
      <c r="E486" s="923"/>
    </row>
    <row r="487" spans="1:5" x14ac:dyDescent="0.25">
      <c r="A487" s="922"/>
      <c r="B487" s="923"/>
      <c r="C487" s="923"/>
      <c r="D487" s="923"/>
      <c r="E487" s="923"/>
    </row>
    <row r="488" spans="1:5" x14ac:dyDescent="0.25">
      <c r="A488" s="922"/>
      <c r="B488" s="923"/>
      <c r="C488" s="923"/>
      <c r="D488" s="923"/>
      <c r="E488" s="923"/>
    </row>
    <row r="489" spans="1:5" x14ac:dyDescent="0.25">
      <c r="A489" s="922"/>
      <c r="B489" s="923"/>
      <c r="C489" s="923"/>
      <c r="D489" s="923"/>
      <c r="E489" s="923"/>
    </row>
    <row r="490" spans="1:5" x14ac:dyDescent="0.25">
      <c r="A490" s="922"/>
      <c r="B490" s="923"/>
      <c r="C490" s="923"/>
      <c r="D490" s="923"/>
      <c r="E490" s="923"/>
    </row>
    <row r="491" spans="1:5" x14ac:dyDescent="0.25">
      <c r="A491" s="922"/>
      <c r="B491" s="923"/>
      <c r="C491" s="923"/>
      <c r="D491" s="923"/>
      <c r="E491" s="923"/>
    </row>
    <row r="492" spans="1:5" x14ac:dyDescent="0.25">
      <c r="A492" s="922"/>
      <c r="B492" s="923"/>
      <c r="C492" s="923"/>
      <c r="D492" s="923"/>
      <c r="E492" s="923"/>
    </row>
    <row r="493" spans="1:5" x14ac:dyDescent="0.25">
      <c r="A493" s="922"/>
      <c r="B493" s="923"/>
      <c r="C493" s="923"/>
      <c r="D493" s="923"/>
      <c r="E493" s="923"/>
    </row>
    <row r="494" spans="1:5" x14ac:dyDescent="0.25">
      <c r="A494" s="922"/>
      <c r="B494" s="923"/>
      <c r="C494" s="923"/>
      <c r="D494" s="923"/>
      <c r="E494" s="923"/>
    </row>
    <row r="495" spans="1:5" x14ac:dyDescent="0.25">
      <c r="A495" s="922"/>
      <c r="B495" s="923"/>
      <c r="C495" s="923"/>
      <c r="D495" s="923"/>
      <c r="E495" s="923"/>
    </row>
    <row r="496" spans="1:5" x14ac:dyDescent="0.25">
      <c r="A496" s="922"/>
      <c r="B496" s="923"/>
      <c r="C496" s="923"/>
      <c r="D496" s="923"/>
      <c r="E496" s="923"/>
    </row>
    <row r="497" spans="1:5" x14ac:dyDescent="0.25">
      <c r="A497" s="922"/>
      <c r="B497" s="923"/>
      <c r="C497" s="923"/>
      <c r="D497" s="923"/>
      <c r="E497" s="923"/>
    </row>
    <row r="498" spans="1:5" x14ac:dyDescent="0.25">
      <c r="A498" s="922"/>
      <c r="B498" s="923"/>
      <c r="C498" s="923"/>
      <c r="D498" s="923"/>
      <c r="E498" s="923"/>
    </row>
    <row r="499" spans="1:5" x14ac:dyDescent="0.25">
      <c r="A499" s="922"/>
      <c r="B499" s="923"/>
      <c r="C499" s="923"/>
      <c r="D499" s="923"/>
      <c r="E499" s="923"/>
    </row>
    <row r="500" spans="1:5" x14ac:dyDescent="0.25">
      <c r="A500" s="922"/>
      <c r="B500" s="923"/>
      <c r="C500" s="923"/>
      <c r="D500" s="923"/>
      <c r="E500" s="923"/>
    </row>
    <row r="501" spans="1:5" x14ac:dyDescent="0.25">
      <c r="A501" s="922"/>
      <c r="B501" s="923"/>
      <c r="C501" s="923"/>
      <c r="D501" s="923"/>
      <c r="E501" s="923"/>
    </row>
    <row r="502" spans="1:5" x14ac:dyDescent="0.25">
      <c r="A502" s="922"/>
      <c r="B502" s="923"/>
      <c r="C502" s="923"/>
      <c r="D502" s="923"/>
      <c r="E502" s="923"/>
    </row>
    <row r="503" spans="1:5" x14ac:dyDescent="0.25">
      <c r="A503" s="922"/>
      <c r="B503" s="923"/>
      <c r="C503" s="923"/>
      <c r="D503" s="923"/>
      <c r="E503" s="923"/>
    </row>
    <row r="504" spans="1:5" x14ac:dyDescent="0.25">
      <c r="A504" s="922"/>
      <c r="B504" s="923"/>
      <c r="C504" s="923"/>
      <c r="D504" s="923"/>
      <c r="E504" s="923"/>
    </row>
    <row r="505" spans="1:5" x14ac:dyDescent="0.25">
      <c r="A505" s="922"/>
      <c r="B505" s="923"/>
      <c r="C505" s="923"/>
      <c r="D505" s="923"/>
      <c r="E505" s="923"/>
    </row>
    <row r="506" spans="1:5" x14ac:dyDescent="0.25">
      <c r="A506" s="922"/>
      <c r="B506" s="923"/>
      <c r="C506" s="923"/>
      <c r="D506" s="923"/>
      <c r="E506" s="923"/>
    </row>
    <row r="507" spans="1:5" x14ac:dyDescent="0.25">
      <c r="A507" s="922"/>
      <c r="B507" s="923"/>
      <c r="C507" s="923"/>
      <c r="D507" s="923"/>
      <c r="E507" s="923"/>
    </row>
    <row r="508" spans="1:5" x14ac:dyDescent="0.25">
      <c r="A508" s="922"/>
      <c r="B508" s="923"/>
      <c r="C508" s="923"/>
      <c r="D508" s="923"/>
      <c r="E508" s="923"/>
    </row>
    <row r="509" spans="1:5" x14ac:dyDescent="0.25">
      <c r="A509" s="922"/>
      <c r="B509" s="923"/>
      <c r="C509" s="923"/>
      <c r="D509" s="923"/>
      <c r="E509" s="923"/>
    </row>
    <row r="510" spans="1:5" x14ac:dyDescent="0.25">
      <c r="A510" s="922"/>
      <c r="B510" s="923"/>
      <c r="C510" s="923"/>
      <c r="D510" s="923"/>
      <c r="E510" s="923"/>
    </row>
    <row r="511" spans="1:5" x14ac:dyDescent="0.25">
      <c r="A511" s="922"/>
      <c r="B511" s="923"/>
      <c r="C511" s="923"/>
      <c r="D511" s="923"/>
      <c r="E511" s="923"/>
    </row>
    <row r="512" spans="1:5" x14ac:dyDescent="0.25">
      <c r="A512" s="922"/>
      <c r="B512" s="923"/>
      <c r="C512" s="923"/>
      <c r="D512" s="923"/>
      <c r="E512" s="923"/>
    </row>
    <row r="513" spans="1:5" x14ac:dyDescent="0.25">
      <c r="A513" s="922"/>
      <c r="B513" s="923"/>
      <c r="C513" s="923"/>
      <c r="D513" s="923"/>
      <c r="E513" s="923"/>
    </row>
    <row r="514" spans="1:5" x14ac:dyDescent="0.25">
      <c r="A514" s="922"/>
      <c r="B514" s="923"/>
      <c r="C514" s="923"/>
      <c r="D514" s="923"/>
      <c r="E514" s="923"/>
    </row>
    <row r="515" spans="1:5" x14ac:dyDescent="0.25">
      <c r="A515" s="922"/>
      <c r="B515" s="923"/>
      <c r="C515" s="923"/>
      <c r="D515" s="923"/>
      <c r="E515" s="923"/>
    </row>
    <row r="516" spans="1:5" x14ac:dyDescent="0.25">
      <c r="A516" s="922"/>
      <c r="B516" s="923"/>
      <c r="C516" s="923"/>
      <c r="D516" s="923"/>
      <c r="E516" s="923"/>
    </row>
    <row r="517" spans="1:5" x14ac:dyDescent="0.25">
      <c r="A517" s="922"/>
      <c r="B517" s="923"/>
      <c r="C517" s="923"/>
      <c r="D517" s="923"/>
      <c r="E517" s="923"/>
    </row>
    <row r="518" spans="1:5" x14ac:dyDescent="0.25">
      <c r="A518" s="922"/>
      <c r="B518" s="923"/>
      <c r="C518" s="923"/>
      <c r="D518" s="923"/>
      <c r="E518" s="923"/>
    </row>
    <row r="519" spans="1:5" x14ac:dyDescent="0.25">
      <c r="A519" s="922"/>
      <c r="B519" s="923"/>
      <c r="C519" s="923"/>
      <c r="D519" s="923"/>
      <c r="E519" s="923"/>
    </row>
    <row r="520" spans="1:5" x14ac:dyDescent="0.25">
      <c r="A520" s="922"/>
      <c r="B520" s="923"/>
      <c r="C520" s="923"/>
      <c r="D520" s="923"/>
      <c r="E520" s="923"/>
    </row>
    <row r="521" spans="1:5" x14ac:dyDescent="0.25">
      <c r="A521" s="922"/>
      <c r="B521" s="923"/>
      <c r="C521" s="923"/>
      <c r="D521" s="923"/>
      <c r="E521" s="923"/>
    </row>
    <row r="522" spans="1:5" x14ac:dyDescent="0.25">
      <c r="A522" s="922"/>
      <c r="B522" s="923"/>
      <c r="C522" s="923"/>
      <c r="D522" s="923"/>
      <c r="E522" s="923"/>
    </row>
    <row r="523" spans="1:5" x14ac:dyDescent="0.25">
      <c r="A523" s="922"/>
      <c r="B523" s="923"/>
      <c r="C523" s="923"/>
      <c r="D523" s="923"/>
      <c r="E523" s="923"/>
    </row>
    <row r="524" spans="1:5" x14ac:dyDescent="0.25">
      <c r="A524" s="922"/>
      <c r="B524" s="923"/>
      <c r="C524" s="923"/>
      <c r="D524" s="923"/>
      <c r="E524" s="923"/>
    </row>
    <row r="525" spans="1:5" x14ac:dyDescent="0.25">
      <c r="A525" s="922"/>
      <c r="B525" s="923"/>
      <c r="C525" s="923"/>
      <c r="D525" s="923"/>
      <c r="E525" s="923"/>
    </row>
    <row r="526" spans="1:5" x14ac:dyDescent="0.25">
      <c r="A526" s="922"/>
      <c r="B526" s="923"/>
      <c r="C526" s="923"/>
      <c r="D526" s="923"/>
      <c r="E526" s="923"/>
    </row>
    <row r="527" spans="1:5" x14ac:dyDescent="0.25">
      <c r="A527" s="922"/>
      <c r="B527" s="923"/>
      <c r="C527" s="923"/>
      <c r="D527" s="923"/>
      <c r="E527" s="923"/>
    </row>
    <row r="528" spans="1:5" x14ac:dyDescent="0.25">
      <c r="A528" s="922"/>
      <c r="B528" s="923"/>
      <c r="C528" s="923"/>
      <c r="D528" s="923"/>
      <c r="E528" s="923"/>
    </row>
    <row r="529" spans="1:5" x14ac:dyDescent="0.25">
      <c r="A529" s="922"/>
      <c r="B529" s="923"/>
      <c r="C529" s="923"/>
      <c r="D529" s="923"/>
      <c r="E529" s="923"/>
    </row>
    <row r="530" spans="1:5" x14ac:dyDescent="0.25">
      <c r="A530" s="922"/>
      <c r="B530" s="923"/>
      <c r="C530" s="923"/>
      <c r="D530" s="923"/>
      <c r="E530" s="923"/>
    </row>
    <row r="531" spans="1:5" x14ac:dyDescent="0.25">
      <c r="A531" s="922"/>
      <c r="B531" s="923"/>
      <c r="C531" s="923"/>
      <c r="D531" s="923"/>
      <c r="E531" s="923"/>
    </row>
    <row r="532" spans="1:5" x14ac:dyDescent="0.25">
      <c r="A532" s="922"/>
      <c r="B532" s="923"/>
      <c r="C532" s="923"/>
      <c r="D532" s="923"/>
      <c r="E532" s="923"/>
    </row>
    <row r="533" spans="1:5" x14ac:dyDescent="0.25">
      <c r="A533" s="922"/>
      <c r="B533" s="923"/>
      <c r="C533" s="923"/>
      <c r="D533" s="923"/>
      <c r="E533" s="923"/>
    </row>
    <row r="534" spans="1:5" x14ac:dyDescent="0.25">
      <c r="A534" s="922"/>
      <c r="B534" s="923"/>
      <c r="C534" s="923"/>
      <c r="D534" s="923"/>
      <c r="E534" s="923"/>
    </row>
    <row r="535" spans="1:5" x14ac:dyDescent="0.25">
      <c r="A535" s="922"/>
      <c r="B535" s="923"/>
      <c r="C535" s="923"/>
      <c r="D535" s="923"/>
      <c r="E535" s="923"/>
    </row>
    <row r="536" spans="1:5" x14ac:dyDescent="0.25">
      <c r="A536" s="922"/>
      <c r="B536" s="923"/>
      <c r="C536" s="923"/>
      <c r="D536" s="923"/>
      <c r="E536" s="923"/>
    </row>
    <row r="537" spans="1:5" x14ac:dyDescent="0.25">
      <c r="A537" s="922"/>
      <c r="B537" s="923"/>
      <c r="C537" s="923"/>
      <c r="D537" s="923"/>
      <c r="E537" s="923"/>
    </row>
    <row r="538" spans="1:5" x14ac:dyDescent="0.25">
      <c r="A538" s="922"/>
      <c r="B538" s="923"/>
      <c r="C538" s="923"/>
      <c r="D538" s="923"/>
      <c r="E538" s="923"/>
    </row>
    <row r="539" spans="1:5" x14ac:dyDescent="0.25">
      <c r="A539" s="922"/>
      <c r="B539" s="923"/>
      <c r="C539" s="923"/>
      <c r="D539" s="923"/>
      <c r="E539" s="923"/>
    </row>
    <row r="540" spans="1:5" x14ac:dyDescent="0.25">
      <c r="A540" s="922"/>
      <c r="B540" s="923"/>
      <c r="C540" s="923"/>
      <c r="D540" s="923"/>
      <c r="E540" s="923"/>
    </row>
    <row r="541" spans="1:5" x14ac:dyDescent="0.25">
      <c r="A541" s="922"/>
      <c r="B541" s="923"/>
      <c r="C541" s="923"/>
      <c r="D541" s="923"/>
      <c r="E541" s="923"/>
    </row>
    <row r="542" spans="1:5" x14ac:dyDescent="0.25">
      <c r="A542" s="922"/>
      <c r="B542" s="923"/>
      <c r="C542" s="923"/>
      <c r="D542" s="923"/>
      <c r="E542" s="923"/>
    </row>
    <row r="543" spans="1:5" x14ac:dyDescent="0.25">
      <c r="A543" s="922"/>
      <c r="B543" s="923"/>
      <c r="C543" s="923"/>
      <c r="D543" s="923"/>
      <c r="E543" s="923"/>
    </row>
    <row r="544" spans="1:5" x14ac:dyDescent="0.25">
      <c r="A544" s="922"/>
      <c r="B544" s="923"/>
      <c r="C544" s="923"/>
      <c r="D544" s="923"/>
      <c r="E544" s="923"/>
    </row>
    <row r="545" spans="1:5" x14ac:dyDescent="0.25">
      <c r="A545" s="922"/>
      <c r="B545" s="923"/>
      <c r="C545" s="923"/>
      <c r="D545" s="923"/>
      <c r="E545" s="923"/>
    </row>
    <row r="546" spans="1:5" x14ac:dyDescent="0.25">
      <c r="A546" s="922"/>
      <c r="B546" s="923"/>
      <c r="C546" s="923"/>
      <c r="D546" s="923"/>
      <c r="E546" s="923"/>
    </row>
    <row r="547" spans="1:5" x14ac:dyDescent="0.25">
      <c r="A547" s="922"/>
      <c r="B547" s="923"/>
      <c r="C547" s="923"/>
      <c r="D547" s="923"/>
      <c r="E547" s="923"/>
    </row>
    <row r="548" spans="1:5" x14ac:dyDescent="0.25">
      <c r="A548" s="922"/>
      <c r="B548" s="923"/>
      <c r="C548" s="923"/>
      <c r="D548" s="923"/>
      <c r="E548" s="923"/>
    </row>
    <row r="549" spans="1:5" x14ac:dyDescent="0.25">
      <c r="A549" s="922"/>
      <c r="B549" s="923"/>
      <c r="C549" s="923"/>
      <c r="D549" s="923"/>
      <c r="E549" s="923"/>
    </row>
    <row r="550" spans="1:5" x14ac:dyDescent="0.25">
      <c r="A550" s="922"/>
      <c r="B550" s="923"/>
      <c r="C550" s="923"/>
      <c r="D550" s="923"/>
      <c r="E550" s="923"/>
    </row>
    <row r="551" spans="1:5" x14ac:dyDescent="0.25">
      <c r="A551" s="922"/>
      <c r="B551" s="923"/>
      <c r="C551" s="923"/>
      <c r="D551" s="923"/>
      <c r="E551" s="923"/>
    </row>
    <row r="552" spans="1:5" x14ac:dyDescent="0.25">
      <c r="A552" s="922"/>
      <c r="B552" s="923"/>
      <c r="C552" s="923"/>
      <c r="D552" s="923"/>
      <c r="E552" s="923"/>
    </row>
    <row r="553" spans="1:5" x14ac:dyDescent="0.25">
      <c r="A553" s="922"/>
      <c r="B553" s="923"/>
      <c r="C553" s="923"/>
      <c r="D553" s="923"/>
      <c r="E553" s="923"/>
    </row>
    <row r="554" spans="1:5" x14ac:dyDescent="0.25">
      <c r="A554" s="922"/>
      <c r="B554" s="923"/>
      <c r="C554" s="923"/>
      <c r="D554" s="923"/>
      <c r="E554" s="923"/>
    </row>
    <row r="555" spans="1:5" x14ac:dyDescent="0.25">
      <c r="A555" s="922"/>
      <c r="B555" s="923"/>
      <c r="C555" s="923"/>
      <c r="D555" s="923"/>
      <c r="E555" s="923"/>
    </row>
    <row r="556" spans="1:5" x14ac:dyDescent="0.25">
      <c r="A556" s="922"/>
      <c r="B556" s="923"/>
      <c r="C556" s="923"/>
      <c r="D556" s="923"/>
      <c r="E556" s="923"/>
    </row>
    <row r="557" spans="1:5" x14ac:dyDescent="0.25">
      <c r="A557" s="922"/>
      <c r="B557" s="923"/>
      <c r="C557" s="923"/>
      <c r="D557" s="923"/>
      <c r="E557" s="923"/>
    </row>
    <row r="558" spans="1:5" x14ac:dyDescent="0.25">
      <c r="A558" s="922"/>
      <c r="B558" s="923"/>
      <c r="C558" s="923"/>
      <c r="D558" s="923"/>
      <c r="E558" s="923"/>
    </row>
    <row r="559" spans="1:5" x14ac:dyDescent="0.25">
      <c r="A559" s="922"/>
      <c r="B559" s="923"/>
      <c r="C559" s="923"/>
      <c r="D559" s="923"/>
      <c r="E559" s="923"/>
    </row>
    <row r="560" spans="1:5" x14ac:dyDescent="0.25">
      <c r="A560" s="922"/>
      <c r="B560" s="923"/>
      <c r="C560" s="923"/>
      <c r="D560" s="923"/>
      <c r="E560" s="923"/>
    </row>
    <row r="561" spans="1:5" x14ac:dyDescent="0.25">
      <c r="A561" s="922"/>
      <c r="B561" s="923"/>
      <c r="C561" s="923"/>
      <c r="D561" s="923"/>
      <c r="E561" s="923"/>
    </row>
    <row r="562" spans="1:5" x14ac:dyDescent="0.25">
      <c r="A562" s="922"/>
      <c r="B562" s="923"/>
      <c r="C562" s="923"/>
      <c r="D562" s="923"/>
      <c r="E562" s="923"/>
    </row>
    <row r="563" spans="1:5" x14ac:dyDescent="0.25">
      <c r="A563" s="922"/>
      <c r="B563" s="923"/>
      <c r="C563" s="923"/>
      <c r="D563" s="923"/>
      <c r="E563" s="923"/>
    </row>
    <row r="564" spans="1:5" x14ac:dyDescent="0.25">
      <c r="A564" s="922"/>
      <c r="B564" s="923"/>
      <c r="C564" s="923"/>
      <c r="D564" s="923"/>
      <c r="E564" s="923"/>
    </row>
    <row r="565" spans="1:5" x14ac:dyDescent="0.25">
      <c r="A565" s="922"/>
      <c r="B565" s="923"/>
      <c r="C565" s="923"/>
      <c r="D565" s="923"/>
      <c r="E565" s="923"/>
    </row>
    <row r="566" spans="1:5" x14ac:dyDescent="0.25">
      <c r="A566" s="922"/>
      <c r="B566" s="923"/>
      <c r="C566" s="923"/>
      <c r="D566" s="923"/>
      <c r="E566" s="923"/>
    </row>
    <row r="567" spans="1:5" x14ac:dyDescent="0.25">
      <c r="A567" s="922"/>
      <c r="B567" s="923"/>
      <c r="C567" s="923"/>
      <c r="D567" s="923"/>
      <c r="E567" s="923"/>
    </row>
    <row r="568" spans="1:5" x14ac:dyDescent="0.25">
      <c r="A568" s="922"/>
      <c r="B568" s="923"/>
      <c r="C568" s="923"/>
      <c r="D568" s="923"/>
      <c r="E568" s="923"/>
    </row>
    <row r="569" spans="1:5" x14ac:dyDescent="0.25">
      <c r="A569" s="922"/>
      <c r="B569" s="923"/>
      <c r="C569" s="923"/>
      <c r="D569" s="923"/>
      <c r="E569" s="923"/>
    </row>
    <row r="570" spans="1:5" x14ac:dyDescent="0.25">
      <c r="A570" s="922"/>
      <c r="B570" s="923"/>
      <c r="C570" s="923"/>
      <c r="D570" s="923"/>
      <c r="E570" s="923"/>
    </row>
    <row r="571" spans="1:5" x14ac:dyDescent="0.25">
      <c r="A571" s="922"/>
      <c r="B571" s="923"/>
      <c r="C571" s="923"/>
      <c r="D571" s="923"/>
      <c r="E571" s="923"/>
    </row>
    <row r="572" spans="1:5" x14ac:dyDescent="0.25">
      <c r="A572" s="922"/>
      <c r="B572" s="923"/>
      <c r="C572" s="923"/>
      <c r="D572" s="923"/>
      <c r="E572" s="923"/>
    </row>
    <row r="573" spans="1:5" x14ac:dyDescent="0.25">
      <c r="A573" s="922"/>
      <c r="B573" s="923"/>
      <c r="C573" s="923"/>
      <c r="D573" s="923"/>
      <c r="E573" s="923"/>
    </row>
    <row r="574" spans="1:5" x14ac:dyDescent="0.25">
      <c r="A574" s="922"/>
      <c r="B574" s="923"/>
      <c r="C574" s="923"/>
      <c r="D574" s="923"/>
      <c r="E574" s="923"/>
    </row>
    <row r="575" spans="1:5" x14ac:dyDescent="0.25">
      <c r="A575" s="922"/>
      <c r="B575" s="923"/>
      <c r="C575" s="923"/>
      <c r="D575" s="923"/>
      <c r="E575" s="923"/>
    </row>
    <row r="576" spans="1:5" x14ac:dyDescent="0.25">
      <c r="A576" s="922"/>
      <c r="B576" s="923"/>
      <c r="C576" s="923"/>
      <c r="D576" s="923"/>
      <c r="E576" s="923"/>
    </row>
    <row r="577" spans="1:5" x14ac:dyDescent="0.25">
      <c r="A577" s="922"/>
      <c r="B577" s="923"/>
      <c r="C577" s="923"/>
      <c r="D577" s="923"/>
      <c r="E577" s="923"/>
    </row>
    <row r="578" spans="1:5" x14ac:dyDescent="0.25">
      <c r="A578" s="922"/>
      <c r="B578" s="923"/>
      <c r="C578" s="923"/>
      <c r="D578" s="923"/>
      <c r="E578" s="923"/>
    </row>
    <row r="579" spans="1:5" x14ac:dyDescent="0.25">
      <c r="A579" s="922"/>
      <c r="B579" s="923"/>
      <c r="C579" s="923"/>
      <c r="D579" s="923"/>
      <c r="E579" s="923"/>
    </row>
    <row r="580" spans="1:5" x14ac:dyDescent="0.25">
      <c r="A580" s="922"/>
      <c r="B580" s="923"/>
      <c r="C580" s="923"/>
      <c r="D580" s="923"/>
      <c r="E580" s="923"/>
    </row>
    <row r="581" spans="1:5" x14ac:dyDescent="0.25">
      <c r="A581" s="922"/>
      <c r="B581" s="923"/>
      <c r="C581" s="923"/>
      <c r="D581" s="923"/>
      <c r="E581" s="923"/>
    </row>
    <row r="582" spans="1:5" x14ac:dyDescent="0.25">
      <c r="A582" s="922"/>
      <c r="B582" s="923"/>
      <c r="C582" s="923"/>
      <c r="D582" s="923"/>
      <c r="E582" s="923"/>
    </row>
    <row r="583" spans="1:5" x14ac:dyDescent="0.25">
      <c r="A583" s="922"/>
      <c r="B583" s="923"/>
      <c r="C583" s="923"/>
      <c r="D583" s="923"/>
      <c r="E583" s="923"/>
    </row>
    <row r="584" spans="1:5" x14ac:dyDescent="0.25">
      <c r="A584" s="922"/>
      <c r="B584" s="923"/>
      <c r="C584" s="923"/>
      <c r="D584" s="923"/>
      <c r="E584" s="923"/>
    </row>
    <row r="585" spans="1:5" x14ac:dyDescent="0.25">
      <c r="A585" s="922"/>
      <c r="B585" s="923"/>
      <c r="C585" s="923"/>
      <c r="D585" s="923"/>
      <c r="E585" s="923"/>
    </row>
    <row r="586" spans="1:5" x14ac:dyDescent="0.25">
      <c r="A586" s="922"/>
      <c r="B586" s="923"/>
      <c r="C586" s="923"/>
      <c r="D586" s="923"/>
      <c r="E586" s="923"/>
    </row>
    <row r="587" spans="1:5" x14ac:dyDescent="0.25">
      <c r="A587" s="922"/>
      <c r="B587" s="923"/>
      <c r="C587" s="923"/>
      <c r="D587" s="923"/>
      <c r="E587" s="923"/>
    </row>
    <row r="588" spans="1:5" x14ac:dyDescent="0.25">
      <c r="A588" s="922"/>
      <c r="B588" s="923"/>
      <c r="C588" s="923"/>
      <c r="D588" s="923"/>
      <c r="E588" s="923"/>
    </row>
    <row r="589" spans="1:5" x14ac:dyDescent="0.25">
      <c r="A589" s="922"/>
      <c r="B589" s="923"/>
      <c r="C589" s="923"/>
      <c r="D589" s="923"/>
      <c r="E589" s="923"/>
    </row>
    <row r="590" spans="1:5" x14ac:dyDescent="0.25">
      <c r="A590" s="922"/>
      <c r="B590" s="923"/>
      <c r="C590" s="923"/>
      <c r="D590" s="923"/>
      <c r="E590" s="923"/>
    </row>
    <row r="591" spans="1:5" x14ac:dyDescent="0.25">
      <c r="A591" s="922"/>
      <c r="B591" s="923"/>
      <c r="C591" s="923"/>
      <c r="D591" s="923"/>
      <c r="E591" s="923"/>
    </row>
    <row r="592" spans="1:5" x14ac:dyDescent="0.25">
      <c r="A592" s="922"/>
      <c r="B592" s="923"/>
      <c r="C592" s="923"/>
      <c r="D592" s="923"/>
      <c r="E592" s="923"/>
    </row>
    <row r="593" spans="1:5" x14ac:dyDescent="0.25">
      <c r="A593" s="922"/>
      <c r="B593" s="923"/>
      <c r="C593" s="923"/>
      <c r="D593" s="923"/>
      <c r="E593" s="923"/>
    </row>
    <row r="594" spans="1:5" x14ac:dyDescent="0.25">
      <c r="A594" s="922"/>
      <c r="B594" s="923"/>
      <c r="C594" s="923"/>
      <c r="D594" s="923"/>
      <c r="E594" s="923"/>
    </row>
    <row r="595" spans="1:5" x14ac:dyDescent="0.25">
      <c r="A595" s="922"/>
      <c r="B595" s="923"/>
      <c r="C595" s="923"/>
      <c r="D595" s="923"/>
      <c r="E595" s="923"/>
    </row>
    <row r="596" spans="1:5" x14ac:dyDescent="0.25">
      <c r="A596" s="922"/>
      <c r="B596" s="923"/>
      <c r="C596" s="923"/>
      <c r="D596" s="923"/>
      <c r="E596" s="923"/>
    </row>
    <row r="597" spans="1:5" x14ac:dyDescent="0.25">
      <c r="A597" s="922"/>
      <c r="B597" s="923"/>
      <c r="C597" s="923"/>
      <c r="D597" s="923"/>
      <c r="E597" s="923"/>
    </row>
    <row r="598" spans="1:5" x14ac:dyDescent="0.25">
      <c r="A598" s="922"/>
      <c r="B598" s="923"/>
      <c r="C598" s="923"/>
      <c r="D598" s="923"/>
      <c r="E598" s="923"/>
    </row>
    <row r="599" spans="1:5" x14ac:dyDescent="0.25">
      <c r="A599" s="922"/>
      <c r="B599" s="923"/>
      <c r="C599" s="923"/>
      <c r="D599" s="923"/>
      <c r="E599" s="923"/>
    </row>
    <row r="600" spans="1:5" x14ac:dyDescent="0.25">
      <c r="A600" s="922"/>
      <c r="B600" s="923"/>
      <c r="C600" s="923"/>
      <c r="D600" s="923"/>
      <c r="E600" s="923"/>
    </row>
    <row r="601" spans="1:5" x14ac:dyDescent="0.25">
      <c r="A601" s="922"/>
      <c r="B601" s="923"/>
      <c r="C601" s="923"/>
      <c r="D601" s="923"/>
      <c r="E601" s="923"/>
    </row>
    <row r="602" spans="1:5" x14ac:dyDescent="0.25">
      <c r="A602" s="922"/>
      <c r="B602" s="923"/>
      <c r="C602" s="923"/>
      <c r="D602" s="923"/>
      <c r="E602" s="923"/>
    </row>
    <row r="603" spans="1:5" x14ac:dyDescent="0.25">
      <c r="A603" s="922"/>
      <c r="B603" s="923"/>
      <c r="C603" s="923"/>
      <c r="D603" s="923"/>
      <c r="E603" s="923"/>
    </row>
    <row r="604" spans="1:5" x14ac:dyDescent="0.25">
      <c r="A604" s="922"/>
      <c r="B604" s="923"/>
      <c r="C604" s="923"/>
      <c r="D604" s="923"/>
      <c r="E604" s="923"/>
    </row>
    <row r="605" spans="1:5" x14ac:dyDescent="0.25">
      <c r="A605" s="922"/>
      <c r="B605" s="923"/>
      <c r="C605" s="923"/>
      <c r="D605" s="923"/>
      <c r="E605" s="923"/>
    </row>
    <row r="606" spans="1:5" x14ac:dyDescent="0.25">
      <c r="A606" s="922"/>
      <c r="B606" s="923"/>
      <c r="C606" s="923"/>
      <c r="D606" s="923"/>
      <c r="E606" s="923"/>
    </row>
    <row r="607" spans="1:5" x14ac:dyDescent="0.25">
      <c r="A607" s="922"/>
      <c r="B607" s="923"/>
      <c r="C607" s="923"/>
      <c r="D607" s="923"/>
      <c r="E607" s="923"/>
    </row>
    <row r="608" spans="1:5" x14ac:dyDescent="0.25">
      <c r="A608" s="922"/>
      <c r="B608" s="923"/>
      <c r="C608" s="923"/>
      <c r="D608" s="923"/>
      <c r="E608" s="923"/>
    </row>
    <row r="609" spans="1:5" x14ac:dyDescent="0.25">
      <c r="A609" s="922"/>
      <c r="B609" s="923"/>
      <c r="C609" s="923"/>
      <c r="D609" s="923"/>
      <c r="E609" s="923"/>
    </row>
    <row r="610" spans="1:5" x14ac:dyDescent="0.25">
      <c r="A610" s="922"/>
      <c r="B610" s="923"/>
      <c r="C610" s="923"/>
      <c r="D610" s="923"/>
      <c r="E610" s="923"/>
    </row>
    <row r="611" spans="1:5" x14ac:dyDescent="0.25">
      <c r="A611" s="922"/>
      <c r="B611" s="923"/>
      <c r="C611" s="923"/>
      <c r="D611" s="923"/>
      <c r="E611" s="923"/>
    </row>
    <row r="612" spans="1:5" x14ac:dyDescent="0.25">
      <c r="A612" s="922"/>
      <c r="B612" s="923"/>
      <c r="C612" s="923"/>
      <c r="D612" s="923"/>
      <c r="E612" s="923"/>
    </row>
    <row r="613" spans="1:5" x14ac:dyDescent="0.25">
      <c r="A613" s="922"/>
      <c r="B613" s="923"/>
      <c r="C613" s="923"/>
      <c r="D613" s="923"/>
      <c r="E613" s="923"/>
    </row>
    <row r="614" spans="1:5" x14ac:dyDescent="0.25">
      <c r="A614" s="922"/>
      <c r="B614" s="923"/>
      <c r="C614" s="923"/>
      <c r="D614" s="923"/>
      <c r="E614" s="923"/>
    </row>
    <row r="615" spans="1:5" x14ac:dyDescent="0.25">
      <c r="A615" s="922"/>
      <c r="B615" s="923"/>
      <c r="C615" s="923"/>
      <c r="D615" s="923"/>
      <c r="E615" s="923"/>
    </row>
    <row r="616" spans="1:5" x14ac:dyDescent="0.25">
      <c r="A616" s="922"/>
      <c r="B616" s="923"/>
      <c r="C616" s="923"/>
      <c r="D616" s="923"/>
      <c r="E616" s="923"/>
    </row>
    <row r="617" spans="1:5" x14ac:dyDescent="0.25">
      <c r="A617" s="922"/>
      <c r="B617" s="923"/>
      <c r="C617" s="923"/>
      <c r="D617" s="923"/>
      <c r="E617" s="923"/>
    </row>
    <row r="618" spans="1:5" x14ac:dyDescent="0.25">
      <c r="A618" s="922"/>
      <c r="B618" s="923"/>
      <c r="C618" s="923"/>
      <c r="D618" s="923"/>
      <c r="E618" s="923"/>
    </row>
    <row r="619" spans="1:5" x14ac:dyDescent="0.25">
      <c r="A619" s="922"/>
      <c r="B619" s="923"/>
      <c r="C619" s="923"/>
      <c r="D619" s="923"/>
      <c r="E619" s="923"/>
    </row>
    <row r="620" spans="1:5" x14ac:dyDescent="0.25">
      <c r="A620" s="922"/>
      <c r="B620" s="923"/>
      <c r="C620" s="923"/>
      <c r="D620" s="923"/>
      <c r="E620" s="923"/>
    </row>
    <row r="621" spans="1:5" x14ac:dyDescent="0.25">
      <c r="A621" s="922"/>
      <c r="B621" s="923"/>
      <c r="C621" s="923"/>
      <c r="D621" s="923"/>
      <c r="E621" s="923"/>
    </row>
    <row r="622" spans="1:5" x14ac:dyDescent="0.25">
      <c r="A622" s="922"/>
      <c r="B622" s="923"/>
      <c r="C622" s="923"/>
      <c r="D622" s="923"/>
      <c r="E622" s="923"/>
    </row>
    <row r="623" spans="1:5" x14ac:dyDescent="0.25">
      <c r="A623" s="922"/>
      <c r="B623" s="923"/>
      <c r="C623" s="923"/>
      <c r="D623" s="923"/>
      <c r="E623" s="923"/>
    </row>
    <row r="624" spans="1:5" x14ac:dyDescent="0.25">
      <c r="A624" s="922"/>
      <c r="B624" s="923"/>
      <c r="C624" s="923"/>
      <c r="D624" s="923"/>
      <c r="E624" s="923"/>
    </row>
    <row r="625" spans="1:5" x14ac:dyDescent="0.25">
      <c r="A625" s="922"/>
      <c r="B625" s="923"/>
      <c r="C625" s="923"/>
      <c r="D625" s="923"/>
      <c r="E625" s="923"/>
    </row>
    <row r="626" spans="1:5" x14ac:dyDescent="0.25">
      <c r="A626" s="922"/>
      <c r="B626" s="923"/>
      <c r="C626" s="923"/>
      <c r="D626" s="923"/>
      <c r="E626" s="923"/>
    </row>
    <row r="627" spans="1:5" x14ac:dyDescent="0.25">
      <c r="A627" s="922"/>
      <c r="B627" s="923"/>
      <c r="C627" s="923"/>
      <c r="D627" s="923"/>
      <c r="E627" s="923"/>
    </row>
    <row r="628" spans="1:5" x14ac:dyDescent="0.25">
      <c r="A628" s="922"/>
      <c r="B628" s="923"/>
      <c r="C628" s="923"/>
      <c r="D628" s="923"/>
      <c r="E628" s="923"/>
    </row>
    <row r="629" spans="1:5" x14ac:dyDescent="0.25">
      <c r="A629" s="922"/>
      <c r="B629" s="923"/>
      <c r="C629" s="923"/>
      <c r="D629" s="923"/>
      <c r="E629" s="923"/>
    </row>
    <row r="630" spans="1:5" x14ac:dyDescent="0.25">
      <c r="A630" s="922"/>
      <c r="B630" s="923"/>
      <c r="C630" s="923"/>
      <c r="D630" s="923"/>
      <c r="E630" s="923"/>
    </row>
    <row r="631" spans="1:5" x14ac:dyDescent="0.25">
      <c r="A631" s="922"/>
      <c r="B631" s="923"/>
      <c r="C631" s="923"/>
      <c r="D631" s="923"/>
      <c r="E631" s="923"/>
    </row>
    <row r="632" spans="1:5" x14ac:dyDescent="0.25">
      <c r="A632" s="922"/>
      <c r="B632" s="923"/>
      <c r="C632" s="923"/>
      <c r="D632" s="923"/>
      <c r="E632" s="923"/>
    </row>
    <row r="633" spans="1:5" x14ac:dyDescent="0.25">
      <c r="A633" s="922"/>
      <c r="B633" s="923"/>
      <c r="C633" s="923"/>
      <c r="D633" s="923"/>
      <c r="E633" s="923"/>
    </row>
    <row r="634" spans="1:5" x14ac:dyDescent="0.25">
      <c r="A634" s="922"/>
      <c r="B634" s="923"/>
      <c r="C634" s="923"/>
      <c r="D634" s="923"/>
      <c r="E634" s="923"/>
    </row>
    <row r="635" spans="1:5" x14ac:dyDescent="0.25">
      <c r="A635" s="922"/>
      <c r="B635" s="923"/>
      <c r="C635" s="923"/>
      <c r="D635" s="923"/>
      <c r="E635" s="923"/>
    </row>
    <row r="636" spans="1:5" x14ac:dyDescent="0.25">
      <c r="A636" s="922"/>
      <c r="B636" s="923"/>
      <c r="C636" s="923"/>
      <c r="D636" s="923"/>
      <c r="E636" s="923"/>
    </row>
    <row r="637" spans="1:5" x14ac:dyDescent="0.25">
      <c r="A637" s="922"/>
      <c r="B637" s="923"/>
      <c r="C637" s="923"/>
      <c r="D637" s="923"/>
      <c r="E637" s="923"/>
    </row>
    <row r="638" spans="1:5" x14ac:dyDescent="0.25">
      <c r="A638" s="922"/>
      <c r="B638" s="923"/>
      <c r="C638" s="923"/>
      <c r="D638" s="923"/>
      <c r="E638" s="923"/>
    </row>
    <row r="639" spans="1:5" x14ac:dyDescent="0.25">
      <c r="A639" s="922"/>
      <c r="B639" s="923"/>
      <c r="C639" s="923"/>
      <c r="D639" s="923"/>
      <c r="E639" s="923"/>
    </row>
    <row r="640" spans="1:5" x14ac:dyDescent="0.25">
      <c r="A640" s="922"/>
      <c r="B640" s="923"/>
      <c r="C640" s="923"/>
      <c r="D640" s="923"/>
      <c r="E640" s="923"/>
    </row>
    <row r="641" spans="1:5" x14ac:dyDescent="0.25">
      <c r="A641" s="922"/>
      <c r="B641" s="923"/>
      <c r="C641" s="923"/>
      <c r="D641" s="923"/>
      <c r="E641" s="923"/>
    </row>
    <row r="642" spans="1:5" x14ac:dyDescent="0.25">
      <c r="A642" s="922"/>
      <c r="B642" s="923"/>
      <c r="C642" s="923"/>
      <c r="D642" s="923"/>
      <c r="E642" s="923"/>
    </row>
    <row r="643" spans="1:5" x14ac:dyDescent="0.25">
      <c r="A643" s="922"/>
      <c r="B643" s="923"/>
      <c r="C643" s="923"/>
      <c r="D643" s="923"/>
      <c r="E643" s="923"/>
    </row>
    <row r="644" spans="1:5" x14ac:dyDescent="0.25">
      <c r="A644" s="922"/>
      <c r="B644" s="923"/>
      <c r="C644" s="923"/>
      <c r="D644" s="923"/>
      <c r="E644" s="923"/>
    </row>
    <row r="645" spans="1:5" x14ac:dyDescent="0.25">
      <c r="A645" s="922"/>
      <c r="B645" s="923"/>
      <c r="C645" s="923"/>
      <c r="D645" s="923"/>
      <c r="E645" s="923"/>
    </row>
    <row r="646" spans="1:5" x14ac:dyDescent="0.25">
      <c r="A646" s="922"/>
      <c r="B646" s="923"/>
      <c r="C646" s="923"/>
      <c r="D646" s="923"/>
      <c r="E646" s="923"/>
    </row>
    <row r="647" spans="1:5" x14ac:dyDescent="0.25">
      <c r="A647" s="922"/>
      <c r="B647" s="923"/>
      <c r="C647" s="923"/>
      <c r="D647" s="923"/>
      <c r="E647" s="923"/>
    </row>
    <row r="648" spans="1:5" x14ac:dyDescent="0.25">
      <c r="A648" s="922"/>
      <c r="B648" s="923"/>
      <c r="C648" s="923"/>
      <c r="D648" s="923"/>
      <c r="E648" s="923"/>
    </row>
    <row r="649" spans="1:5" x14ac:dyDescent="0.25">
      <c r="A649" s="922"/>
      <c r="B649" s="923"/>
      <c r="C649" s="923"/>
      <c r="D649" s="923"/>
      <c r="E649" s="923"/>
    </row>
    <row r="650" spans="1:5" x14ac:dyDescent="0.25">
      <c r="A650" s="922"/>
      <c r="B650" s="923"/>
      <c r="C650" s="923"/>
      <c r="D650" s="923"/>
      <c r="E650" s="923"/>
    </row>
    <row r="651" spans="1:5" x14ac:dyDescent="0.25">
      <c r="A651" s="922"/>
      <c r="B651" s="923"/>
      <c r="C651" s="923"/>
      <c r="D651" s="923"/>
      <c r="E651" s="923"/>
    </row>
    <row r="652" spans="1:5" x14ac:dyDescent="0.25">
      <c r="A652" s="922"/>
      <c r="B652" s="923"/>
      <c r="C652" s="923"/>
      <c r="D652" s="923"/>
      <c r="E652" s="923"/>
    </row>
    <row r="653" spans="1:5" x14ac:dyDescent="0.25">
      <c r="A653" s="922"/>
      <c r="B653" s="923"/>
      <c r="C653" s="923"/>
      <c r="D653" s="923"/>
      <c r="E653" s="923"/>
    </row>
    <row r="654" spans="1:5" x14ac:dyDescent="0.25">
      <c r="A654" s="922"/>
      <c r="B654" s="923"/>
      <c r="C654" s="923"/>
      <c r="D654" s="923"/>
      <c r="E654" s="923"/>
    </row>
    <row r="655" spans="1:5" x14ac:dyDescent="0.25">
      <c r="A655" s="922"/>
      <c r="B655" s="923"/>
      <c r="C655" s="923"/>
      <c r="D655" s="923"/>
      <c r="E655" s="923"/>
    </row>
    <row r="656" spans="1:5" x14ac:dyDescent="0.25">
      <c r="A656" s="922"/>
      <c r="B656" s="923"/>
      <c r="C656" s="923"/>
      <c r="D656" s="923"/>
      <c r="E656" s="923"/>
    </row>
    <row r="657" spans="1:5" x14ac:dyDescent="0.25">
      <c r="A657" s="922"/>
      <c r="B657" s="923"/>
      <c r="C657" s="923"/>
      <c r="D657" s="923"/>
      <c r="E657" s="923"/>
    </row>
    <row r="658" spans="1:5" x14ac:dyDescent="0.25">
      <c r="A658" s="922"/>
      <c r="B658" s="923"/>
      <c r="C658" s="923"/>
      <c r="D658" s="923"/>
      <c r="E658" s="923"/>
    </row>
    <row r="659" spans="1:5" x14ac:dyDescent="0.25">
      <c r="A659" s="922"/>
      <c r="B659" s="923"/>
      <c r="C659" s="923"/>
      <c r="D659" s="923"/>
      <c r="E659" s="923"/>
    </row>
    <row r="660" spans="1:5" x14ac:dyDescent="0.25">
      <c r="A660" s="922"/>
      <c r="B660" s="923"/>
      <c r="C660" s="923"/>
      <c r="D660" s="923"/>
      <c r="E660" s="923"/>
    </row>
    <row r="661" spans="1:5" x14ac:dyDescent="0.25">
      <c r="A661" s="922"/>
      <c r="B661" s="923"/>
      <c r="C661" s="923"/>
      <c r="D661" s="923"/>
      <c r="E661" s="923"/>
    </row>
    <row r="662" spans="1:5" x14ac:dyDescent="0.25">
      <c r="A662" s="922"/>
      <c r="B662" s="923"/>
      <c r="C662" s="923"/>
      <c r="D662" s="923"/>
      <c r="E662" s="923"/>
    </row>
    <row r="663" spans="1:5" x14ac:dyDescent="0.25">
      <c r="A663" s="922"/>
      <c r="B663" s="923"/>
      <c r="C663" s="923"/>
      <c r="D663" s="923"/>
      <c r="E663" s="923"/>
    </row>
    <row r="664" spans="1:5" x14ac:dyDescent="0.25">
      <c r="A664" s="922"/>
      <c r="B664" s="923"/>
      <c r="C664" s="923"/>
      <c r="D664" s="923"/>
      <c r="E664" s="923"/>
    </row>
    <row r="665" spans="1:5" x14ac:dyDescent="0.25">
      <c r="A665" s="922"/>
      <c r="B665" s="923"/>
      <c r="C665" s="923"/>
      <c r="D665" s="923"/>
      <c r="E665" s="923"/>
    </row>
    <row r="666" spans="1:5" x14ac:dyDescent="0.25">
      <c r="A666" s="922"/>
      <c r="B666" s="923"/>
      <c r="C666" s="923"/>
      <c r="D666" s="923"/>
      <c r="E666" s="923"/>
    </row>
    <row r="667" spans="1:5" x14ac:dyDescent="0.25">
      <c r="A667" s="922"/>
      <c r="B667" s="923"/>
      <c r="C667" s="923"/>
      <c r="D667" s="923"/>
      <c r="E667" s="923"/>
    </row>
    <row r="668" spans="1:5" x14ac:dyDescent="0.25">
      <c r="A668" s="922"/>
      <c r="B668" s="923"/>
      <c r="C668" s="923"/>
      <c r="D668" s="923"/>
      <c r="E668" s="923"/>
    </row>
    <row r="669" spans="1:5" x14ac:dyDescent="0.25">
      <c r="A669" s="922"/>
      <c r="B669" s="923"/>
      <c r="C669" s="923"/>
      <c r="D669" s="923"/>
      <c r="E669" s="923"/>
    </row>
    <row r="670" spans="1:5" x14ac:dyDescent="0.25">
      <c r="A670" s="922"/>
      <c r="B670" s="923"/>
      <c r="C670" s="923"/>
      <c r="D670" s="923"/>
      <c r="E670" s="923"/>
    </row>
    <row r="671" spans="1:5" x14ac:dyDescent="0.25">
      <c r="A671" s="922"/>
      <c r="B671" s="923"/>
      <c r="C671" s="923"/>
      <c r="D671" s="923"/>
      <c r="E671" s="923"/>
    </row>
    <row r="672" spans="1:5" x14ac:dyDescent="0.25">
      <c r="A672" s="922"/>
      <c r="B672" s="923"/>
      <c r="C672" s="923"/>
      <c r="D672" s="923"/>
      <c r="E672" s="923"/>
    </row>
    <row r="673" spans="1:5" x14ac:dyDescent="0.25">
      <c r="A673" s="922"/>
      <c r="B673" s="923"/>
      <c r="C673" s="923"/>
      <c r="D673" s="923"/>
      <c r="E673" s="923"/>
    </row>
    <row r="674" spans="1:5" x14ac:dyDescent="0.25">
      <c r="A674" s="922"/>
      <c r="B674" s="923"/>
      <c r="C674" s="923"/>
      <c r="D674" s="923"/>
      <c r="E674" s="923"/>
    </row>
    <row r="675" spans="1:5" x14ac:dyDescent="0.25">
      <c r="A675" s="922"/>
      <c r="B675" s="923"/>
      <c r="C675" s="923"/>
      <c r="D675" s="923"/>
      <c r="E675" s="923"/>
    </row>
    <row r="676" spans="1:5" x14ac:dyDescent="0.25">
      <c r="A676" s="922"/>
      <c r="B676" s="923"/>
      <c r="C676" s="923"/>
      <c r="D676" s="923"/>
      <c r="E676" s="923"/>
    </row>
    <row r="677" spans="1:5" x14ac:dyDescent="0.25">
      <c r="A677" s="922"/>
      <c r="B677" s="923"/>
      <c r="C677" s="923"/>
      <c r="D677" s="923"/>
      <c r="E677" s="923"/>
    </row>
    <row r="678" spans="1:5" x14ac:dyDescent="0.25">
      <c r="A678" s="922"/>
      <c r="B678" s="923"/>
      <c r="C678" s="923"/>
      <c r="D678" s="923"/>
      <c r="E678" s="923"/>
    </row>
    <row r="679" spans="1:5" x14ac:dyDescent="0.25">
      <c r="A679" s="922"/>
      <c r="B679" s="923"/>
      <c r="C679" s="923"/>
      <c r="D679" s="923"/>
      <c r="E679" s="923"/>
    </row>
    <row r="680" spans="1:5" x14ac:dyDescent="0.25">
      <c r="A680" s="922"/>
      <c r="B680" s="923"/>
      <c r="C680" s="923"/>
      <c r="D680" s="923"/>
      <c r="E680" s="923"/>
    </row>
    <row r="681" spans="1:5" x14ac:dyDescent="0.25">
      <c r="A681" s="922"/>
      <c r="B681" s="923"/>
      <c r="C681" s="923"/>
      <c r="D681" s="923"/>
      <c r="E681" s="923"/>
    </row>
    <row r="682" spans="1:5" x14ac:dyDescent="0.25">
      <c r="A682" s="922"/>
      <c r="B682" s="923"/>
      <c r="C682" s="923"/>
      <c r="D682" s="923"/>
      <c r="E682" s="923"/>
    </row>
    <row r="683" spans="1:5" x14ac:dyDescent="0.25">
      <c r="A683" s="922"/>
      <c r="B683" s="923"/>
      <c r="C683" s="923"/>
      <c r="D683" s="923"/>
      <c r="E683" s="923"/>
    </row>
    <row r="684" spans="1:5" x14ac:dyDescent="0.25">
      <c r="A684" s="922"/>
      <c r="B684" s="923"/>
      <c r="C684" s="923"/>
      <c r="D684" s="923"/>
      <c r="E684" s="923"/>
    </row>
    <row r="685" spans="1:5" x14ac:dyDescent="0.25">
      <c r="A685" s="922"/>
      <c r="B685" s="923"/>
      <c r="C685" s="923"/>
      <c r="D685" s="923"/>
      <c r="E685" s="923"/>
    </row>
    <row r="686" spans="1:5" x14ac:dyDescent="0.25">
      <c r="A686" s="922"/>
      <c r="B686" s="923"/>
      <c r="C686" s="923"/>
      <c r="D686" s="923"/>
      <c r="E686" s="923"/>
    </row>
    <row r="687" spans="1:5" x14ac:dyDescent="0.25">
      <c r="A687" s="922"/>
      <c r="B687" s="923"/>
      <c r="C687" s="923"/>
      <c r="D687" s="923"/>
      <c r="E687" s="923"/>
    </row>
    <row r="688" spans="1:5" x14ac:dyDescent="0.25">
      <c r="A688" s="922"/>
      <c r="B688" s="923"/>
      <c r="C688" s="923"/>
      <c r="D688" s="923"/>
      <c r="E688" s="923"/>
    </row>
    <row r="689" spans="1:5" x14ac:dyDescent="0.25">
      <c r="A689" s="922"/>
      <c r="B689" s="923"/>
      <c r="C689" s="923"/>
      <c r="D689" s="923"/>
      <c r="E689" s="923"/>
    </row>
    <row r="690" spans="1:5" x14ac:dyDescent="0.25">
      <c r="A690" s="922"/>
      <c r="B690" s="923"/>
      <c r="C690" s="923"/>
      <c r="D690" s="923"/>
      <c r="E690" s="923"/>
    </row>
    <row r="691" spans="1:5" x14ac:dyDescent="0.25">
      <c r="A691" s="922"/>
      <c r="B691" s="923"/>
      <c r="C691" s="923"/>
      <c r="D691" s="923"/>
      <c r="E691" s="923"/>
    </row>
    <row r="692" spans="1:5" x14ac:dyDescent="0.25">
      <c r="A692" s="922"/>
      <c r="B692" s="923"/>
      <c r="C692" s="923"/>
      <c r="D692" s="923"/>
      <c r="E692" s="923"/>
    </row>
    <row r="693" spans="1:5" x14ac:dyDescent="0.25">
      <c r="A693" s="922"/>
      <c r="B693" s="923"/>
      <c r="C693" s="923"/>
      <c r="D693" s="923"/>
      <c r="E693" s="923"/>
    </row>
    <row r="694" spans="1:5" x14ac:dyDescent="0.25">
      <c r="A694" s="922"/>
      <c r="B694" s="923"/>
      <c r="C694" s="923"/>
      <c r="D694" s="923"/>
      <c r="E694" s="923"/>
    </row>
    <row r="695" spans="1:5" x14ac:dyDescent="0.25">
      <c r="A695" s="922"/>
      <c r="B695" s="923"/>
      <c r="C695" s="923"/>
      <c r="D695" s="923"/>
      <c r="E695" s="923"/>
    </row>
    <row r="696" spans="1:5" x14ac:dyDescent="0.25">
      <c r="A696" s="922"/>
      <c r="B696" s="923"/>
      <c r="C696" s="923"/>
      <c r="D696" s="923"/>
      <c r="E696" s="923"/>
    </row>
    <row r="697" spans="1:5" x14ac:dyDescent="0.25">
      <c r="A697" s="922"/>
      <c r="B697" s="923"/>
      <c r="C697" s="923"/>
      <c r="D697" s="923"/>
      <c r="E697" s="923"/>
    </row>
    <row r="698" spans="1:5" x14ac:dyDescent="0.25">
      <c r="A698" s="922"/>
      <c r="B698" s="923"/>
      <c r="C698" s="923"/>
      <c r="D698" s="923"/>
      <c r="E698" s="923"/>
    </row>
    <row r="699" spans="1:5" x14ac:dyDescent="0.25">
      <c r="A699" s="922"/>
      <c r="B699" s="923"/>
      <c r="C699" s="923"/>
      <c r="D699" s="923"/>
      <c r="E699" s="923"/>
    </row>
    <row r="700" spans="1:5" x14ac:dyDescent="0.25">
      <c r="A700" s="922"/>
      <c r="B700" s="923"/>
      <c r="C700" s="923"/>
      <c r="D700" s="923"/>
      <c r="E700" s="923"/>
    </row>
    <row r="701" spans="1:5" x14ac:dyDescent="0.25">
      <c r="A701" s="922"/>
      <c r="B701" s="923"/>
      <c r="C701" s="923"/>
      <c r="D701" s="923"/>
      <c r="E701" s="923"/>
    </row>
    <row r="702" spans="1:5" x14ac:dyDescent="0.25">
      <c r="A702" s="922"/>
      <c r="B702" s="923"/>
      <c r="C702" s="923"/>
      <c r="D702" s="923"/>
      <c r="E702" s="923"/>
    </row>
    <row r="703" spans="1:5" x14ac:dyDescent="0.25">
      <c r="A703" s="922"/>
      <c r="B703" s="923"/>
      <c r="C703" s="923"/>
      <c r="D703" s="923"/>
      <c r="E703" s="923"/>
    </row>
    <row r="704" spans="1:5" x14ac:dyDescent="0.25">
      <c r="A704" s="922"/>
      <c r="B704" s="923"/>
      <c r="C704" s="923"/>
      <c r="D704" s="923"/>
      <c r="E704" s="923"/>
    </row>
    <row r="705" spans="1:5" x14ac:dyDescent="0.25">
      <c r="A705" s="922"/>
      <c r="B705" s="923"/>
      <c r="C705" s="923"/>
      <c r="D705" s="923"/>
      <c r="E705" s="923"/>
    </row>
    <row r="706" spans="1:5" x14ac:dyDescent="0.25">
      <c r="A706" s="922"/>
      <c r="B706" s="923"/>
      <c r="C706" s="923"/>
      <c r="D706" s="923"/>
      <c r="E706" s="923"/>
    </row>
    <row r="707" spans="1:5" x14ac:dyDescent="0.25">
      <c r="A707" s="922"/>
      <c r="B707" s="923"/>
      <c r="C707" s="923"/>
      <c r="D707" s="923"/>
      <c r="E707" s="923"/>
    </row>
    <row r="708" spans="1:5" x14ac:dyDescent="0.25">
      <c r="A708" s="922"/>
      <c r="B708" s="923"/>
      <c r="C708" s="923"/>
      <c r="D708" s="923"/>
      <c r="E708" s="923"/>
    </row>
    <row r="709" spans="1:5" x14ac:dyDescent="0.25">
      <c r="A709" s="922"/>
      <c r="B709" s="923"/>
      <c r="C709" s="923"/>
      <c r="D709" s="923"/>
      <c r="E709" s="923"/>
    </row>
    <row r="710" spans="1:5" x14ac:dyDescent="0.25">
      <c r="A710" s="922"/>
      <c r="B710" s="923"/>
      <c r="C710" s="923"/>
      <c r="D710" s="923"/>
      <c r="E710" s="923"/>
    </row>
    <row r="711" spans="1:5" x14ac:dyDescent="0.25">
      <c r="A711" s="922"/>
      <c r="B711" s="923"/>
      <c r="C711" s="923"/>
      <c r="D711" s="923"/>
      <c r="E711" s="923"/>
    </row>
    <row r="712" spans="1:5" x14ac:dyDescent="0.25">
      <c r="A712" s="922"/>
      <c r="B712" s="923"/>
      <c r="C712" s="923"/>
      <c r="D712" s="923"/>
      <c r="E712" s="923"/>
    </row>
    <row r="713" spans="1:5" x14ac:dyDescent="0.25">
      <c r="A713" s="922"/>
      <c r="B713" s="923"/>
      <c r="C713" s="923"/>
      <c r="D713" s="923"/>
      <c r="E713" s="923"/>
    </row>
    <row r="714" spans="1:5" x14ac:dyDescent="0.25">
      <c r="A714" s="922"/>
      <c r="B714" s="923"/>
      <c r="C714" s="923"/>
      <c r="D714" s="923"/>
      <c r="E714" s="923"/>
    </row>
    <row r="715" spans="1:5" x14ac:dyDescent="0.25">
      <c r="A715" s="922"/>
      <c r="B715" s="923"/>
      <c r="C715" s="923"/>
      <c r="D715" s="923"/>
      <c r="E715" s="923"/>
    </row>
    <row r="716" spans="1:5" x14ac:dyDescent="0.25">
      <c r="A716" s="922"/>
      <c r="B716" s="923"/>
      <c r="C716" s="923"/>
      <c r="D716" s="923"/>
      <c r="E716" s="923"/>
    </row>
    <row r="717" spans="1:5" x14ac:dyDescent="0.25">
      <c r="A717" s="922"/>
      <c r="B717" s="923"/>
      <c r="C717" s="923"/>
      <c r="D717" s="923"/>
      <c r="E717" s="923"/>
    </row>
    <row r="718" spans="1:5" x14ac:dyDescent="0.25">
      <c r="A718" s="922"/>
      <c r="B718" s="923"/>
      <c r="C718" s="923"/>
      <c r="D718" s="923"/>
      <c r="E718" s="923"/>
    </row>
    <row r="719" spans="1:5" x14ac:dyDescent="0.25">
      <c r="A719" s="922"/>
      <c r="B719" s="923"/>
      <c r="C719" s="923"/>
      <c r="D719" s="923"/>
      <c r="E719" s="923"/>
    </row>
    <row r="720" spans="1:5" x14ac:dyDescent="0.25">
      <c r="A720" s="922"/>
      <c r="B720" s="923"/>
      <c r="C720" s="923"/>
      <c r="D720" s="923"/>
      <c r="E720" s="923"/>
    </row>
    <row r="721" spans="1:5" x14ac:dyDescent="0.25">
      <c r="A721" s="922"/>
      <c r="B721" s="923"/>
      <c r="C721" s="923"/>
      <c r="D721" s="923"/>
      <c r="E721" s="923"/>
    </row>
    <row r="722" spans="1:5" x14ac:dyDescent="0.25">
      <c r="A722" s="922"/>
      <c r="B722" s="923"/>
      <c r="C722" s="923"/>
      <c r="D722" s="923"/>
      <c r="E722" s="923"/>
    </row>
    <row r="723" spans="1:5" x14ac:dyDescent="0.25">
      <c r="A723" s="922"/>
      <c r="B723" s="923"/>
      <c r="C723" s="923"/>
      <c r="D723" s="923"/>
      <c r="E723" s="923"/>
    </row>
    <row r="724" spans="1:5" x14ac:dyDescent="0.25">
      <c r="A724" s="922"/>
      <c r="B724" s="923"/>
      <c r="C724" s="923"/>
      <c r="D724" s="923"/>
      <c r="E724" s="923"/>
    </row>
    <row r="725" spans="1:5" x14ac:dyDescent="0.25">
      <c r="A725" s="922"/>
      <c r="B725" s="923"/>
      <c r="C725" s="923"/>
      <c r="D725" s="923"/>
      <c r="E725" s="923"/>
    </row>
    <row r="726" spans="1:5" x14ac:dyDescent="0.25">
      <c r="A726" s="922"/>
      <c r="B726" s="923"/>
      <c r="C726" s="923"/>
      <c r="D726" s="923"/>
      <c r="E726" s="923"/>
    </row>
    <row r="727" spans="1:5" x14ac:dyDescent="0.25">
      <c r="A727" s="922"/>
      <c r="B727" s="923"/>
      <c r="C727" s="923"/>
      <c r="D727" s="923"/>
      <c r="E727" s="923"/>
    </row>
    <row r="728" spans="1:5" x14ac:dyDescent="0.25">
      <c r="A728" s="922"/>
      <c r="B728" s="923"/>
      <c r="C728" s="923"/>
      <c r="D728" s="923"/>
      <c r="E728" s="923"/>
    </row>
    <row r="729" spans="1:5" x14ac:dyDescent="0.25">
      <c r="A729" s="922"/>
      <c r="B729" s="923"/>
      <c r="C729" s="923"/>
      <c r="D729" s="923"/>
      <c r="E729" s="923"/>
    </row>
    <row r="730" spans="1:5" x14ac:dyDescent="0.25">
      <c r="A730" s="922"/>
      <c r="B730" s="923"/>
      <c r="C730" s="923"/>
      <c r="D730" s="923"/>
      <c r="E730" s="923"/>
    </row>
    <row r="731" spans="1:5" x14ac:dyDescent="0.25">
      <c r="A731" s="922"/>
      <c r="B731" s="923"/>
      <c r="C731" s="923"/>
      <c r="D731" s="923"/>
      <c r="E731" s="923"/>
    </row>
    <row r="732" spans="1:5" x14ac:dyDescent="0.25">
      <c r="A732" s="922"/>
      <c r="B732" s="923"/>
      <c r="C732" s="923"/>
      <c r="D732" s="923"/>
      <c r="E732" s="923"/>
    </row>
    <row r="733" spans="1:5" x14ac:dyDescent="0.25">
      <c r="A733" s="922"/>
      <c r="B733" s="923"/>
      <c r="C733" s="923"/>
      <c r="D733" s="923"/>
      <c r="E733" s="923"/>
    </row>
    <row r="734" spans="1:5" x14ac:dyDescent="0.25">
      <c r="A734" s="922"/>
      <c r="B734" s="923"/>
      <c r="C734" s="923"/>
      <c r="D734" s="923"/>
      <c r="E734" s="923"/>
    </row>
    <row r="735" spans="1:5" x14ac:dyDescent="0.25">
      <c r="A735" s="922"/>
      <c r="B735" s="923"/>
      <c r="C735" s="923"/>
      <c r="D735" s="923"/>
      <c r="E735" s="923"/>
    </row>
    <row r="736" spans="1:5" x14ac:dyDescent="0.25">
      <c r="A736" s="922"/>
      <c r="B736" s="923"/>
      <c r="C736" s="923"/>
      <c r="D736" s="923"/>
      <c r="E736" s="923"/>
    </row>
    <row r="737" spans="1:5" x14ac:dyDescent="0.25">
      <c r="A737" s="922"/>
      <c r="B737" s="923"/>
      <c r="C737" s="923"/>
      <c r="D737" s="923"/>
      <c r="E737" s="923"/>
    </row>
    <row r="738" spans="1:5" x14ac:dyDescent="0.25">
      <c r="A738" s="922"/>
      <c r="B738" s="923"/>
      <c r="C738" s="923"/>
      <c r="D738" s="923"/>
      <c r="E738" s="923"/>
    </row>
    <row r="739" spans="1:5" x14ac:dyDescent="0.25">
      <c r="A739" s="922"/>
      <c r="B739" s="923"/>
      <c r="C739" s="923"/>
      <c r="D739" s="923"/>
      <c r="E739" s="923"/>
    </row>
    <row r="740" spans="1:5" x14ac:dyDescent="0.25">
      <c r="A740" s="922"/>
      <c r="B740" s="923"/>
      <c r="C740" s="923"/>
      <c r="D740" s="923"/>
      <c r="E740" s="923"/>
    </row>
    <row r="741" spans="1:5" x14ac:dyDescent="0.25">
      <c r="A741" s="922"/>
      <c r="B741" s="923"/>
      <c r="C741" s="923"/>
      <c r="D741" s="923"/>
      <c r="E741" s="923"/>
    </row>
    <row r="742" spans="1:5" x14ac:dyDescent="0.25">
      <c r="A742" s="922"/>
      <c r="B742" s="923"/>
      <c r="C742" s="923"/>
      <c r="D742" s="923"/>
      <c r="E742" s="923"/>
    </row>
    <row r="743" spans="1:5" x14ac:dyDescent="0.25">
      <c r="A743" s="922"/>
      <c r="B743" s="923"/>
      <c r="C743" s="923"/>
      <c r="D743" s="923"/>
      <c r="E743" s="923"/>
    </row>
    <row r="744" spans="1:5" x14ac:dyDescent="0.25">
      <c r="A744" s="922"/>
      <c r="B744" s="923"/>
      <c r="C744" s="923"/>
      <c r="D744" s="923"/>
      <c r="E744" s="923"/>
    </row>
    <row r="745" spans="1:5" x14ac:dyDescent="0.25">
      <c r="A745" s="922"/>
      <c r="B745" s="923"/>
      <c r="C745" s="923"/>
      <c r="D745" s="923"/>
      <c r="E745" s="923"/>
    </row>
    <row r="746" spans="1:5" x14ac:dyDescent="0.25">
      <c r="A746" s="922"/>
      <c r="B746" s="923"/>
      <c r="C746" s="923"/>
      <c r="D746" s="923"/>
      <c r="E746" s="923"/>
    </row>
    <row r="747" spans="1:5" x14ac:dyDescent="0.25">
      <c r="A747" s="922"/>
      <c r="B747" s="923"/>
      <c r="C747" s="923"/>
      <c r="D747" s="923"/>
      <c r="E747" s="923"/>
    </row>
    <row r="748" spans="1:5" x14ac:dyDescent="0.25">
      <c r="A748" s="922"/>
      <c r="B748" s="923"/>
      <c r="C748" s="923"/>
      <c r="D748" s="923"/>
      <c r="E748" s="923"/>
    </row>
    <row r="749" spans="1:5" x14ac:dyDescent="0.25">
      <c r="A749" s="922"/>
      <c r="B749" s="923"/>
      <c r="C749" s="923"/>
      <c r="D749" s="923"/>
      <c r="E749" s="923"/>
    </row>
    <row r="750" spans="1:5" x14ac:dyDescent="0.25">
      <c r="A750" s="922"/>
      <c r="B750" s="923"/>
      <c r="C750" s="923"/>
      <c r="D750" s="923"/>
      <c r="E750" s="923"/>
    </row>
    <row r="751" spans="1:5" x14ac:dyDescent="0.25">
      <c r="A751" s="922"/>
      <c r="B751" s="923"/>
      <c r="C751" s="923"/>
      <c r="D751" s="923"/>
      <c r="E751" s="923"/>
    </row>
    <row r="752" spans="1:5" x14ac:dyDescent="0.25">
      <c r="A752" s="922"/>
      <c r="B752" s="923"/>
      <c r="C752" s="923"/>
      <c r="D752" s="923"/>
      <c r="E752" s="923"/>
    </row>
    <row r="753" spans="1:5" x14ac:dyDescent="0.25">
      <c r="A753" s="922"/>
      <c r="B753" s="923"/>
      <c r="C753" s="923"/>
      <c r="D753" s="923"/>
      <c r="E753" s="923"/>
    </row>
    <row r="754" spans="1:5" x14ac:dyDescent="0.25">
      <c r="A754" s="922"/>
      <c r="B754" s="923"/>
      <c r="C754" s="923"/>
      <c r="D754" s="923"/>
      <c r="E754" s="923"/>
    </row>
    <row r="755" spans="1:5" x14ac:dyDescent="0.25">
      <c r="A755" s="922"/>
      <c r="B755" s="923"/>
      <c r="C755" s="923"/>
      <c r="D755" s="923"/>
      <c r="E755" s="923"/>
    </row>
    <row r="756" spans="1:5" x14ac:dyDescent="0.25">
      <c r="A756" s="922"/>
      <c r="B756" s="923"/>
      <c r="C756" s="923"/>
      <c r="D756" s="923"/>
      <c r="E756" s="923"/>
    </row>
    <row r="757" spans="1:5" x14ac:dyDescent="0.25">
      <c r="A757" s="922"/>
      <c r="B757" s="923"/>
      <c r="C757" s="923"/>
      <c r="D757" s="923"/>
      <c r="E757" s="923"/>
    </row>
    <row r="758" spans="1:5" x14ac:dyDescent="0.25">
      <c r="A758" s="922"/>
      <c r="B758" s="923"/>
      <c r="C758" s="923"/>
      <c r="D758" s="923"/>
      <c r="E758" s="923"/>
    </row>
    <row r="759" spans="1:5" x14ac:dyDescent="0.25">
      <c r="A759" s="922"/>
      <c r="B759" s="923"/>
      <c r="C759" s="923"/>
      <c r="D759" s="923"/>
      <c r="E759" s="923"/>
    </row>
    <row r="760" spans="1:5" x14ac:dyDescent="0.25">
      <c r="A760" s="922"/>
      <c r="B760" s="923"/>
      <c r="C760" s="923"/>
      <c r="D760" s="923"/>
      <c r="E760" s="923"/>
    </row>
    <row r="761" spans="1:5" x14ac:dyDescent="0.25">
      <c r="A761" s="922"/>
      <c r="B761" s="923"/>
      <c r="C761" s="923"/>
      <c r="D761" s="923"/>
      <c r="E761" s="923"/>
    </row>
    <row r="762" spans="1:5" x14ac:dyDescent="0.25">
      <c r="A762" s="922"/>
      <c r="B762" s="923"/>
      <c r="C762" s="923"/>
      <c r="D762" s="923"/>
      <c r="E762" s="923"/>
    </row>
    <row r="763" spans="1:5" x14ac:dyDescent="0.25">
      <c r="A763" s="922"/>
      <c r="B763" s="923"/>
      <c r="C763" s="923"/>
      <c r="D763" s="923"/>
      <c r="E763" s="923"/>
    </row>
    <row r="764" spans="1:5" x14ac:dyDescent="0.25">
      <c r="A764" s="922"/>
      <c r="B764" s="923"/>
      <c r="C764" s="923"/>
      <c r="D764" s="923"/>
      <c r="E764" s="923"/>
    </row>
    <row r="765" spans="1:5" x14ac:dyDescent="0.25">
      <c r="A765" s="922"/>
      <c r="B765" s="923"/>
      <c r="C765" s="923"/>
      <c r="D765" s="923"/>
      <c r="E765" s="923"/>
    </row>
    <row r="766" spans="1:5" x14ac:dyDescent="0.25">
      <c r="A766" s="922"/>
      <c r="B766" s="923"/>
      <c r="C766" s="923"/>
      <c r="D766" s="923"/>
      <c r="E766" s="923"/>
    </row>
    <row r="767" spans="1:5" x14ac:dyDescent="0.25">
      <c r="A767" s="922"/>
      <c r="B767" s="923"/>
      <c r="C767" s="923"/>
      <c r="D767" s="923"/>
      <c r="E767" s="923"/>
    </row>
    <row r="768" spans="1:5" x14ac:dyDescent="0.25">
      <c r="A768" s="922"/>
      <c r="B768" s="923"/>
      <c r="C768" s="923"/>
      <c r="D768" s="923"/>
      <c r="E768" s="923"/>
    </row>
    <row r="769" spans="1:5" x14ac:dyDescent="0.25">
      <c r="A769" s="922"/>
      <c r="B769" s="923"/>
      <c r="C769" s="923"/>
      <c r="D769" s="923"/>
      <c r="E769" s="923"/>
    </row>
    <row r="770" spans="1:5" x14ac:dyDescent="0.25">
      <c r="A770" s="922"/>
      <c r="B770" s="923"/>
      <c r="C770" s="923"/>
      <c r="D770" s="923"/>
      <c r="E770" s="923"/>
    </row>
    <row r="771" spans="1:5" x14ac:dyDescent="0.25">
      <c r="A771" s="922"/>
      <c r="B771" s="923"/>
      <c r="C771" s="923"/>
      <c r="D771" s="923"/>
      <c r="E771" s="923"/>
    </row>
    <row r="772" spans="1:5" x14ac:dyDescent="0.25">
      <c r="A772" s="922"/>
      <c r="B772" s="923"/>
      <c r="C772" s="923"/>
      <c r="D772" s="923"/>
      <c r="E772" s="923"/>
    </row>
    <row r="773" spans="1:5" x14ac:dyDescent="0.25">
      <c r="A773" s="922"/>
      <c r="B773" s="923"/>
      <c r="C773" s="923"/>
      <c r="D773" s="923"/>
      <c r="E773" s="923"/>
    </row>
    <row r="774" spans="1:5" x14ac:dyDescent="0.25">
      <c r="A774" s="922"/>
      <c r="B774" s="923"/>
      <c r="C774" s="923"/>
      <c r="D774" s="923"/>
      <c r="E774" s="923"/>
    </row>
    <row r="775" spans="1:5" x14ac:dyDescent="0.25">
      <c r="A775" s="922"/>
      <c r="B775" s="923"/>
      <c r="C775" s="923"/>
      <c r="D775" s="923"/>
      <c r="E775" s="923"/>
    </row>
    <row r="776" spans="1:5" x14ac:dyDescent="0.25">
      <c r="A776" s="922"/>
      <c r="B776" s="923"/>
      <c r="C776" s="923"/>
      <c r="D776" s="923"/>
      <c r="E776" s="923"/>
    </row>
    <row r="777" spans="1:5" x14ac:dyDescent="0.25">
      <c r="A777" s="922"/>
      <c r="B777" s="923"/>
      <c r="C777" s="923"/>
      <c r="D777" s="923"/>
      <c r="E777" s="923"/>
    </row>
    <row r="778" spans="1:5" x14ac:dyDescent="0.25">
      <c r="A778" s="922"/>
      <c r="B778" s="923"/>
      <c r="C778" s="923"/>
      <c r="D778" s="923"/>
      <c r="E778" s="923"/>
    </row>
    <row r="779" spans="1:5" x14ac:dyDescent="0.25">
      <c r="A779" s="922"/>
      <c r="B779" s="923"/>
      <c r="C779" s="923"/>
      <c r="D779" s="923"/>
      <c r="E779" s="923"/>
    </row>
    <row r="780" spans="1:5" x14ac:dyDescent="0.25">
      <c r="A780" s="922"/>
      <c r="B780" s="923"/>
      <c r="C780" s="923"/>
      <c r="D780" s="923"/>
      <c r="E780" s="923"/>
    </row>
    <row r="781" spans="1:5" x14ac:dyDescent="0.25">
      <c r="A781" s="922"/>
      <c r="B781" s="923"/>
      <c r="C781" s="923"/>
      <c r="D781" s="923"/>
      <c r="E781" s="923"/>
    </row>
    <row r="782" spans="1:5" x14ac:dyDescent="0.25">
      <c r="A782" s="922"/>
      <c r="B782" s="923"/>
      <c r="C782" s="923"/>
      <c r="D782" s="923"/>
      <c r="E782" s="923"/>
    </row>
    <row r="783" spans="1:5" x14ac:dyDescent="0.25">
      <c r="A783" s="922"/>
      <c r="B783" s="923"/>
      <c r="C783" s="923"/>
      <c r="D783" s="923"/>
      <c r="E783" s="923"/>
    </row>
    <row r="784" spans="1:5" x14ac:dyDescent="0.25">
      <c r="A784" s="922"/>
      <c r="B784" s="923"/>
      <c r="C784" s="923"/>
      <c r="D784" s="923"/>
      <c r="E784" s="923"/>
    </row>
    <row r="785" spans="1:5" x14ac:dyDescent="0.25">
      <c r="A785" s="922"/>
      <c r="B785" s="923"/>
      <c r="C785" s="923"/>
      <c r="D785" s="923"/>
      <c r="E785" s="923"/>
    </row>
    <row r="786" spans="1:5" x14ac:dyDescent="0.25">
      <c r="A786" s="922"/>
      <c r="B786" s="923"/>
      <c r="C786" s="923"/>
      <c r="D786" s="923"/>
      <c r="E786" s="923"/>
    </row>
    <row r="787" spans="1:5" x14ac:dyDescent="0.25">
      <c r="A787" s="922"/>
      <c r="B787" s="923"/>
      <c r="C787" s="923"/>
      <c r="D787" s="923"/>
      <c r="E787" s="923"/>
    </row>
    <row r="788" spans="1:5" x14ac:dyDescent="0.25">
      <c r="A788" s="922"/>
      <c r="B788" s="923"/>
      <c r="C788" s="923"/>
      <c r="D788" s="923"/>
      <c r="E788" s="923"/>
    </row>
    <row r="789" spans="1:5" x14ac:dyDescent="0.25">
      <c r="A789" s="922"/>
      <c r="B789" s="923"/>
      <c r="C789" s="923"/>
      <c r="D789" s="923"/>
      <c r="E789" s="923"/>
    </row>
    <row r="790" spans="1:5" x14ac:dyDescent="0.25">
      <c r="A790" s="922"/>
      <c r="B790" s="923"/>
      <c r="C790" s="923"/>
      <c r="D790" s="923"/>
      <c r="E790" s="923"/>
    </row>
    <row r="791" spans="1:5" x14ac:dyDescent="0.25">
      <c r="A791" s="922"/>
      <c r="B791" s="923"/>
      <c r="C791" s="923"/>
      <c r="D791" s="923"/>
      <c r="E791" s="923"/>
    </row>
    <row r="792" spans="1:5" x14ac:dyDescent="0.25">
      <c r="A792" s="922"/>
      <c r="B792" s="923"/>
      <c r="C792" s="923"/>
      <c r="D792" s="923"/>
      <c r="E792" s="923"/>
    </row>
    <row r="793" spans="1:5" x14ac:dyDescent="0.25">
      <c r="A793" s="922"/>
      <c r="B793" s="923"/>
      <c r="C793" s="923"/>
      <c r="D793" s="923"/>
      <c r="E793" s="923"/>
    </row>
    <row r="794" spans="1:5" x14ac:dyDescent="0.25">
      <c r="A794" s="922"/>
      <c r="B794" s="923"/>
      <c r="C794" s="923"/>
      <c r="D794" s="923"/>
      <c r="E794" s="923"/>
    </row>
    <row r="795" spans="1:5" x14ac:dyDescent="0.25">
      <c r="A795" s="922"/>
      <c r="B795" s="923"/>
      <c r="C795" s="923"/>
      <c r="D795" s="923"/>
      <c r="E795" s="923"/>
    </row>
    <row r="796" spans="1:5" x14ac:dyDescent="0.25">
      <c r="A796" s="922"/>
      <c r="B796" s="923"/>
      <c r="C796" s="923"/>
      <c r="D796" s="923"/>
      <c r="E796" s="923"/>
    </row>
    <row r="797" spans="1:5" x14ac:dyDescent="0.25">
      <c r="A797" s="922"/>
      <c r="B797" s="923"/>
      <c r="C797" s="923"/>
      <c r="D797" s="923"/>
      <c r="E797" s="923"/>
    </row>
    <row r="798" spans="1:5" x14ac:dyDescent="0.25">
      <c r="A798" s="922"/>
      <c r="B798" s="923"/>
      <c r="C798" s="923"/>
      <c r="D798" s="923"/>
      <c r="E798" s="923"/>
    </row>
    <row r="799" spans="1:5" x14ac:dyDescent="0.25">
      <c r="A799" s="922"/>
      <c r="B799" s="923"/>
      <c r="C799" s="923"/>
      <c r="D799" s="923"/>
      <c r="E799" s="923"/>
    </row>
    <row r="800" spans="1:5" x14ac:dyDescent="0.25">
      <c r="A800" s="922"/>
      <c r="B800" s="923"/>
      <c r="C800" s="923"/>
      <c r="D800" s="923"/>
      <c r="E800" s="923"/>
    </row>
    <row r="801" spans="1:5" x14ac:dyDescent="0.25">
      <c r="A801" s="922"/>
      <c r="B801" s="923"/>
      <c r="C801" s="923"/>
      <c r="D801" s="923"/>
      <c r="E801" s="923"/>
    </row>
    <row r="802" spans="1:5" x14ac:dyDescent="0.25">
      <c r="A802" s="922"/>
      <c r="B802" s="923"/>
      <c r="C802" s="923"/>
      <c r="D802" s="923"/>
      <c r="E802" s="923"/>
    </row>
    <row r="803" spans="1:5" x14ac:dyDescent="0.25">
      <c r="A803" s="922"/>
      <c r="B803" s="923"/>
      <c r="C803" s="923"/>
      <c r="D803" s="923"/>
      <c r="E803" s="923"/>
    </row>
    <row r="804" spans="1:5" x14ac:dyDescent="0.25">
      <c r="A804" s="922"/>
      <c r="B804" s="923"/>
      <c r="C804" s="923"/>
      <c r="D804" s="923"/>
      <c r="E804" s="923"/>
    </row>
    <row r="805" spans="1:5" x14ac:dyDescent="0.25">
      <c r="A805" s="922"/>
      <c r="B805" s="923"/>
      <c r="C805" s="923"/>
      <c r="D805" s="923"/>
      <c r="E805" s="923"/>
    </row>
    <row r="806" spans="1:5" x14ac:dyDescent="0.25">
      <c r="A806" s="922"/>
      <c r="B806" s="923"/>
      <c r="C806" s="923"/>
      <c r="D806" s="923"/>
      <c r="E806" s="923"/>
    </row>
    <row r="807" spans="1:5" x14ac:dyDescent="0.25">
      <c r="A807" s="922"/>
      <c r="B807" s="923"/>
      <c r="C807" s="923"/>
      <c r="D807" s="923"/>
      <c r="E807" s="923"/>
    </row>
    <row r="808" spans="1:5" x14ac:dyDescent="0.25">
      <c r="A808" s="922"/>
      <c r="B808" s="923"/>
      <c r="C808" s="923"/>
      <c r="D808" s="923"/>
      <c r="E808" s="923"/>
    </row>
    <row r="809" spans="1:5" x14ac:dyDescent="0.25">
      <c r="A809" s="922"/>
      <c r="B809" s="923"/>
      <c r="C809" s="923"/>
      <c r="D809" s="923"/>
      <c r="E809" s="923"/>
    </row>
    <row r="810" spans="1:5" x14ac:dyDescent="0.25">
      <c r="A810" s="922"/>
      <c r="B810" s="923"/>
      <c r="C810" s="923"/>
      <c r="D810" s="923"/>
      <c r="E810" s="923"/>
    </row>
    <row r="811" spans="1:5" x14ac:dyDescent="0.25">
      <c r="A811" s="922"/>
      <c r="B811" s="923"/>
      <c r="C811" s="923"/>
      <c r="D811" s="923"/>
      <c r="E811" s="923"/>
    </row>
    <row r="812" spans="1:5" x14ac:dyDescent="0.25">
      <c r="A812" s="922"/>
      <c r="B812" s="923"/>
      <c r="C812" s="923"/>
      <c r="D812" s="923"/>
      <c r="E812" s="923"/>
    </row>
    <row r="813" spans="1:5" x14ac:dyDescent="0.25">
      <c r="A813" s="922"/>
      <c r="B813" s="923"/>
      <c r="C813" s="923"/>
      <c r="D813" s="923"/>
      <c r="E813" s="923"/>
    </row>
    <row r="814" spans="1:5" x14ac:dyDescent="0.25">
      <c r="A814" s="922"/>
      <c r="B814" s="923"/>
      <c r="C814" s="923"/>
      <c r="D814" s="923"/>
      <c r="E814" s="923"/>
    </row>
    <row r="815" spans="1:5" x14ac:dyDescent="0.25">
      <c r="A815" s="922"/>
      <c r="B815" s="923"/>
      <c r="C815" s="923"/>
      <c r="D815" s="923"/>
      <c r="E815" s="923"/>
    </row>
    <row r="816" spans="1:5" x14ac:dyDescent="0.25">
      <c r="A816" s="922"/>
      <c r="B816" s="923"/>
      <c r="C816" s="923"/>
      <c r="D816" s="923"/>
      <c r="E816" s="923"/>
    </row>
    <row r="817" spans="1:5" x14ac:dyDescent="0.25">
      <c r="A817" s="922"/>
      <c r="B817" s="923"/>
      <c r="C817" s="923"/>
      <c r="D817" s="923"/>
      <c r="E817" s="923"/>
    </row>
    <row r="818" spans="1:5" x14ac:dyDescent="0.25">
      <c r="A818" s="922"/>
      <c r="B818" s="923"/>
      <c r="C818" s="923"/>
      <c r="D818" s="923"/>
      <c r="E818" s="923"/>
    </row>
    <row r="819" spans="1:5" x14ac:dyDescent="0.25">
      <c r="A819" s="922"/>
      <c r="B819" s="923"/>
      <c r="C819" s="923"/>
      <c r="D819" s="923"/>
      <c r="E819" s="923"/>
    </row>
    <row r="820" spans="1:5" x14ac:dyDescent="0.25">
      <c r="A820" s="922"/>
      <c r="B820" s="923"/>
      <c r="C820" s="923"/>
      <c r="D820" s="923"/>
      <c r="E820" s="923"/>
    </row>
    <row r="821" spans="1:5" x14ac:dyDescent="0.25">
      <c r="A821" s="922"/>
      <c r="B821" s="923"/>
      <c r="C821" s="923"/>
      <c r="D821" s="923"/>
      <c r="E821" s="923"/>
    </row>
    <row r="822" spans="1:5" x14ac:dyDescent="0.25">
      <c r="A822" s="922"/>
      <c r="B822" s="923"/>
      <c r="C822" s="923"/>
      <c r="D822" s="923"/>
      <c r="E822" s="923"/>
    </row>
    <row r="823" spans="1:5" x14ac:dyDescent="0.25">
      <c r="A823" s="922"/>
      <c r="B823" s="923"/>
      <c r="C823" s="923"/>
      <c r="D823" s="923"/>
      <c r="E823" s="923"/>
    </row>
    <row r="824" spans="1:5" x14ac:dyDescent="0.25">
      <c r="A824" s="922"/>
      <c r="B824" s="923"/>
      <c r="C824" s="923"/>
      <c r="D824" s="923"/>
      <c r="E824" s="923"/>
    </row>
    <row r="825" spans="1:5" x14ac:dyDescent="0.25">
      <c r="A825" s="922"/>
      <c r="B825" s="923"/>
      <c r="C825" s="923"/>
      <c r="D825" s="923"/>
      <c r="E825" s="923"/>
    </row>
    <row r="826" spans="1:5" x14ac:dyDescent="0.25">
      <c r="A826" s="922"/>
      <c r="B826" s="923"/>
      <c r="C826" s="923"/>
      <c r="D826" s="923"/>
      <c r="E826" s="923"/>
    </row>
    <row r="827" spans="1:5" x14ac:dyDescent="0.25">
      <c r="A827" s="922"/>
      <c r="B827" s="923"/>
      <c r="C827" s="923"/>
      <c r="D827" s="923"/>
      <c r="E827" s="923"/>
    </row>
    <row r="828" spans="1:5" x14ac:dyDescent="0.25">
      <c r="A828" s="922"/>
      <c r="B828" s="923"/>
      <c r="C828" s="923"/>
      <c r="D828" s="923"/>
      <c r="E828" s="923"/>
    </row>
    <row r="829" spans="1:5" x14ac:dyDescent="0.25">
      <c r="A829" s="922"/>
      <c r="B829" s="923"/>
      <c r="C829" s="923"/>
      <c r="D829" s="923"/>
      <c r="E829" s="923"/>
    </row>
    <row r="830" spans="1:5" x14ac:dyDescent="0.25">
      <c r="A830" s="922"/>
      <c r="B830" s="923"/>
      <c r="C830" s="923"/>
      <c r="D830" s="923"/>
      <c r="E830" s="923"/>
    </row>
    <row r="831" spans="1:5" x14ac:dyDescent="0.25">
      <c r="A831" s="922"/>
      <c r="B831" s="923"/>
      <c r="C831" s="923"/>
      <c r="D831" s="923"/>
      <c r="E831" s="923"/>
    </row>
    <row r="832" spans="1:5" x14ac:dyDescent="0.25">
      <c r="A832" s="922"/>
      <c r="B832" s="923"/>
      <c r="C832" s="923"/>
      <c r="D832" s="923"/>
      <c r="E832" s="923"/>
    </row>
    <row r="833" spans="1:5" x14ac:dyDescent="0.25">
      <c r="A833" s="922"/>
      <c r="B833" s="923"/>
      <c r="C833" s="923"/>
      <c r="D833" s="923"/>
      <c r="E833" s="923"/>
    </row>
    <row r="834" spans="1:5" x14ac:dyDescent="0.25">
      <c r="A834" s="922"/>
      <c r="B834" s="923"/>
      <c r="C834" s="923"/>
      <c r="D834" s="923"/>
      <c r="E834" s="923"/>
    </row>
    <row r="835" spans="1:5" x14ac:dyDescent="0.25">
      <c r="A835" s="922"/>
      <c r="B835" s="923"/>
      <c r="C835" s="923"/>
      <c r="D835" s="923"/>
      <c r="E835" s="923"/>
    </row>
    <row r="836" spans="1:5" x14ac:dyDescent="0.25">
      <c r="A836" s="922"/>
      <c r="B836" s="923"/>
      <c r="C836" s="923"/>
      <c r="D836" s="923"/>
      <c r="E836" s="923"/>
    </row>
    <row r="837" spans="1:5" x14ac:dyDescent="0.25">
      <c r="A837" s="922"/>
      <c r="B837" s="923"/>
      <c r="C837" s="923"/>
      <c r="D837" s="923"/>
      <c r="E837" s="923"/>
    </row>
    <row r="838" spans="1:5" x14ac:dyDescent="0.25">
      <c r="A838" s="922"/>
      <c r="B838" s="923"/>
      <c r="C838" s="923"/>
      <c r="D838" s="923"/>
      <c r="E838" s="923"/>
    </row>
    <row r="839" spans="1:5" x14ac:dyDescent="0.25">
      <c r="A839" s="922"/>
      <c r="B839" s="923"/>
      <c r="C839" s="923"/>
      <c r="D839" s="923"/>
      <c r="E839" s="923"/>
    </row>
    <row r="840" spans="1:5" x14ac:dyDescent="0.25">
      <c r="A840" s="922"/>
      <c r="B840" s="923"/>
      <c r="C840" s="923"/>
      <c r="D840" s="923"/>
      <c r="E840" s="923"/>
    </row>
    <row r="841" spans="1:5" x14ac:dyDescent="0.25">
      <c r="A841" s="922"/>
      <c r="B841" s="923"/>
      <c r="C841" s="923"/>
      <c r="D841" s="923"/>
      <c r="E841" s="923"/>
    </row>
    <row r="842" spans="1:5" x14ac:dyDescent="0.25">
      <c r="A842" s="922"/>
      <c r="B842" s="923"/>
      <c r="C842" s="923"/>
      <c r="D842" s="923"/>
      <c r="E842" s="923"/>
    </row>
    <row r="843" spans="1:5" x14ac:dyDescent="0.25">
      <c r="A843" s="922"/>
      <c r="B843" s="923"/>
      <c r="C843" s="923"/>
      <c r="D843" s="923"/>
      <c r="E843" s="923"/>
    </row>
    <row r="844" spans="1:5" x14ac:dyDescent="0.25">
      <c r="A844" s="922"/>
      <c r="B844" s="923"/>
      <c r="C844" s="923"/>
      <c r="D844" s="923"/>
      <c r="E844" s="923"/>
    </row>
    <row r="845" spans="1:5" x14ac:dyDescent="0.25">
      <c r="A845" s="922"/>
      <c r="B845" s="923"/>
      <c r="C845" s="923"/>
      <c r="D845" s="923"/>
      <c r="E845" s="923"/>
    </row>
    <row r="846" spans="1:5" x14ac:dyDescent="0.25">
      <c r="A846" s="922"/>
      <c r="B846" s="923"/>
      <c r="C846" s="923"/>
      <c r="D846" s="923"/>
      <c r="E846" s="923"/>
    </row>
    <row r="847" spans="1:5" x14ac:dyDescent="0.25">
      <c r="A847" s="922"/>
      <c r="B847" s="923"/>
      <c r="C847" s="923"/>
      <c r="D847" s="923"/>
      <c r="E847" s="923"/>
    </row>
    <row r="848" spans="1:5" x14ac:dyDescent="0.25">
      <c r="A848" s="922"/>
      <c r="B848" s="923"/>
      <c r="C848" s="923"/>
      <c r="D848" s="923"/>
      <c r="E848" s="923"/>
    </row>
    <row r="849" spans="1:5" x14ac:dyDescent="0.25">
      <c r="A849" s="922"/>
      <c r="B849" s="923"/>
      <c r="C849" s="923"/>
      <c r="D849" s="923"/>
      <c r="E849" s="923"/>
    </row>
    <row r="850" spans="1:5" x14ac:dyDescent="0.25">
      <c r="A850" s="922"/>
      <c r="B850" s="923"/>
      <c r="C850" s="923"/>
      <c r="D850" s="923"/>
      <c r="E850" s="923"/>
    </row>
    <row r="851" spans="1:5" x14ac:dyDescent="0.25">
      <c r="A851" s="922"/>
      <c r="B851" s="923"/>
      <c r="C851" s="923"/>
      <c r="D851" s="923"/>
      <c r="E851" s="923"/>
    </row>
    <row r="852" spans="1:5" x14ac:dyDescent="0.25">
      <c r="A852" s="922"/>
      <c r="B852" s="923"/>
      <c r="C852" s="923"/>
      <c r="D852" s="923"/>
      <c r="E852" s="923"/>
    </row>
    <row r="853" spans="1:5" x14ac:dyDescent="0.25">
      <c r="A853" s="922"/>
      <c r="B853" s="923"/>
      <c r="C853" s="923"/>
      <c r="D853" s="923"/>
      <c r="E853" s="923"/>
    </row>
    <row r="854" spans="1:5" x14ac:dyDescent="0.25">
      <c r="A854" s="922"/>
      <c r="B854" s="923"/>
      <c r="C854" s="923"/>
      <c r="D854" s="923"/>
      <c r="E854" s="923"/>
    </row>
    <row r="855" spans="1:5" x14ac:dyDescent="0.25">
      <c r="A855" s="922"/>
      <c r="B855" s="923"/>
      <c r="C855" s="923"/>
      <c r="D855" s="923"/>
      <c r="E855" s="923"/>
    </row>
    <row r="856" spans="1:5" x14ac:dyDescent="0.25">
      <c r="A856" s="922"/>
      <c r="B856" s="923"/>
      <c r="C856" s="923"/>
      <c r="D856" s="923"/>
      <c r="E856" s="923"/>
    </row>
    <row r="857" spans="1:5" x14ac:dyDescent="0.25">
      <c r="A857" s="922"/>
      <c r="B857" s="923"/>
      <c r="C857" s="923"/>
      <c r="D857" s="923"/>
      <c r="E857" s="923"/>
    </row>
    <row r="858" spans="1:5" x14ac:dyDescent="0.25">
      <c r="A858" s="922"/>
      <c r="B858" s="923"/>
      <c r="C858" s="923"/>
      <c r="D858" s="923"/>
      <c r="E858" s="923"/>
    </row>
    <row r="859" spans="1:5" x14ac:dyDescent="0.25">
      <c r="A859" s="922"/>
      <c r="B859" s="923"/>
      <c r="C859" s="923"/>
      <c r="D859" s="923"/>
      <c r="E859" s="923"/>
    </row>
    <row r="860" spans="1:5" x14ac:dyDescent="0.25">
      <c r="A860" s="922"/>
      <c r="B860" s="923"/>
      <c r="C860" s="923"/>
      <c r="D860" s="923"/>
      <c r="E860" s="923"/>
    </row>
    <row r="861" spans="1:5" x14ac:dyDescent="0.25">
      <c r="A861" s="922"/>
      <c r="B861" s="923"/>
      <c r="C861" s="923"/>
      <c r="D861" s="923"/>
      <c r="E861" s="923"/>
    </row>
    <row r="862" spans="1:5" x14ac:dyDescent="0.25">
      <c r="A862" s="922"/>
      <c r="B862" s="923"/>
      <c r="C862" s="923"/>
      <c r="D862" s="923"/>
      <c r="E862" s="923"/>
    </row>
    <row r="863" spans="1:5" x14ac:dyDescent="0.25">
      <c r="A863" s="922"/>
      <c r="B863" s="923"/>
      <c r="C863" s="923"/>
      <c r="D863" s="923"/>
      <c r="E863" s="923"/>
    </row>
    <row r="864" spans="1:5" x14ac:dyDescent="0.25">
      <c r="A864" s="922"/>
      <c r="B864" s="923"/>
      <c r="C864" s="923"/>
      <c r="D864" s="923"/>
      <c r="E864" s="923"/>
    </row>
    <row r="865" spans="1:5" x14ac:dyDescent="0.25">
      <c r="A865" s="922"/>
      <c r="B865" s="923"/>
      <c r="C865" s="923"/>
      <c r="D865" s="923"/>
      <c r="E865" s="923"/>
    </row>
    <row r="866" spans="1:5" x14ac:dyDescent="0.25">
      <c r="A866" s="922"/>
      <c r="B866" s="923"/>
      <c r="C866" s="923"/>
      <c r="D866" s="923"/>
      <c r="E866" s="923"/>
    </row>
    <row r="867" spans="1:5" x14ac:dyDescent="0.25">
      <c r="A867" s="922"/>
      <c r="B867" s="923"/>
      <c r="C867" s="923"/>
      <c r="D867" s="923"/>
      <c r="E867" s="923"/>
    </row>
    <row r="868" spans="1:5" x14ac:dyDescent="0.25">
      <c r="A868" s="922"/>
      <c r="B868" s="923"/>
      <c r="C868" s="923"/>
      <c r="D868" s="923"/>
      <c r="E868" s="923"/>
    </row>
    <row r="869" spans="1:5" x14ac:dyDescent="0.25">
      <c r="A869" s="922"/>
      <c r="B869" s="923"/>
      <c r="C869" s="923"/>
      <c r="D869" s="923"/>
      <c r="E869" s="923"/>
    </row>
    <row r="870" spans="1:5" x14ac:dyDescent="0.25">
      <c r="A870" s="922"/>
      <c r="B870" s="923"/>
      <c r="C870" s="923"/>
      <c r="D870" s="923"/>
      <c r="E870" s="923"/>
    </row>
    <row r="871" spans="1:5" x14ac:dyDescent="0.25">
      <c r="A871" s="922"/>
      <c r="B871" s="923"/>
      <c r="C871" s="923"/>
      <c r="D871" s="923"/>
      <c r="E871" s="923"/>
    </row>
    <row r="872" spans="1:5" x14ac:dyDescent="0.25">
      <c r="A872" s="922"/>
      <c r="B872" s="923"/>
      <c r="C872" s="923"/>
      <c r="D872" s="923"/>
      <c r="E872" s="923"/>
    </row>
    <row r="873" spans="1:5" x14ac:dyDescent="0.25">
      <c r="A873" s="922"/>
      <c r="B873" s="923"/>
      <c r="C873" s="923"/>
      <c r="D873" s="923"/>
      <c r="E873" s="923"/>
    </row>
    <row r="874" spans="1:5" x14ac:dyDescent="0.25">
      <c r="A874" s="922"/>
      <c r="B874" s="923"/>
      <c r="C874" s="923"/>
      <c r="D874" s="923"/>
      <c r="E874" s="923"/>
    </row>
    <row r="875" spans="1:5" x14ac:dyDescent="0.25">
      <c r="A875" s="922"/>
      <c r="B875" s="923"/>
      <c r="C875" s="923"/>
      <c r="D875" s="923"/>
      <c r="E875" s="923"/>
    </row>
    <row r="876" spans="1:5" x14ac:dyDescent="0.25">
      <c r="A876" s="922"/>
      <c r="B876" s="923"/>
      <c r="C876" s="923"/>
      <c r="D876" s="923"/>
      <c r="E876" s="923"/>
    </row>
    <row r="877" spans="1:5" x14ac:dyDescent="0.25">
      <c r="A877" s="922"/>
      <c r="B877" s="923"/>
      <c r="C877" s="923"/>
      <c r="D877" s="923"/>
      <c r="E877" s="923"/>
    </row>
    <row r="878" spans="1:5" x14ac:dyDescent="0.25">
      <c r="A878" s="922"/>
      <c r="B878" s="923"/>
      <c r="C878" s="923"/>
      <c r="D878" s="923"/>
      <c r="E878" s="923"/>
    </row>
    <row r="879" spans="1:5" x14ac:dyDescent="0.25">
      <c r="A879" s="922"/>
      <c r="B879" s="923"/>
      <c r="C879" s="923"/>
      <c r="D879" s="923"/>
      <c r="E879" s="923"/>
    </row>
    <row r="880" spans="1:5" x14ac:dyDescent="0.25">
      <c r="A880" s="922"/>
      <c r="B880" s="923"/>
      <c r="C880" s="923"/>
      <c r="D880" s="923"/>
      <c r="E880" s="923"/>
    </row>
    <row r="881" spans="1:5" x14ac:dyDescent="0.25">
      <c r="A881" s="922"/>
      <c r="B881" s="923"/>
      <c r="C881" s="923"/>
      <c r="D881" s="923"/>
      <c r="E881" s="923"/>
    </row>
    <row r="882" spans="1:5" x14ac:dyDescent="0.25">
      <c r="A882" s="922"/>
      <c r="B882" s="923"/>
      <c r="C882" s="923"/>
      <c r="D882" s="923"/>
      <c r="E882" s="923"/>
    </row>
    <row r="883" spans="1:5" x14ac:dyDescent="0.25">
      <c r="A883" s="922"/>
      <c r="B883" s="923"/>
      <c r="C883" s="923"/>
      <c r="D883" s="923"/>
      <c r="E883" s="923"/>
    </row>
    <row r="884" spans="1:5" x14ac:dyDescent="0.25">
      <c r="A884" s="922"/>
      <c r="B884" s="923"/>
      <c r="C884" s="923"/>
      <c r="D884" s="923"/>
      <c r="E884" s="923"/>
    </row>
    <row r="885" spans="1:5" x14ac:dyDescent="0.25">
      <c r="A885" s="922"/>
      <c r="B885" s="923"/>
      <c r="C885" s="923"/>
      <c r="D885" s="923"/>
      <c r="E885" s="923"/>
    </row>
    <row r="886" spans="1:5" x14ac:dyDescent="0.25">
      <c r="A886" s="922"/>
      <c r="B886" s="923"/>
      <c r="C886" s="923"/>
      <c r="D886" s="923"/>
      <c r="E886" s="923"/>
    </row>
    <row r="887" spans="1:5" x14ac:dyDescent="0.25">
      <c r="A887" s="922"/>
      <c r="B887" s="923"/>
      <c r="C887" s="923"/>
      <c r="D887" s="923"/>
      <c r="E887" s="923"/>
    </row>
    <row r="888" spans="1:5" x14ac:dyDescent="0.25">
      <c r="A888" s="922"/>
      <c r="B888" s="923"/>
      <c r="C888" s="923"/>
      <c r="D888" s="923"/>
      <c r="E888" s="923"/>
    </row>
    <row r="889" spans="1:5" x14ac:dyDescent="0.25">
      <c r="A889" s="922"/>
      <c r="B889" s="923"/>
      <c r="C889" s="923"/>
      <c r="D889" s="923"/>
      <c r="E889" s="923"/>
    </row>
    <row r="890" spans="1:5" x14ac:dyDescent="0.25">
      <c r="A890" s="922"/>
      <c r="B890" s="923"/>
      <c r="C890" s="923"/>
      <c r="D890" s="923"/>
      <c r="E890" s="923"/>
    </row>
    <row r="891" spans="1:5" x14ac:dyDescent="0.25">
      <c r="A891" s="922"/>
      <c r="B891" s="923"/>
      <c r="C891" s="923"/>
      <c r="D891" s="923"/>
      <c r="E891" s="923"/>
    </row>
    <row r="892" spans="1:5" x14ac:dyDescent="0.25">
      <c r="A892" s="922"/>
      <c r="B892" s="923"/>
      <c r="C892" s="923"/>
      <c r="D892" s="923"/>
      <c r="E892" s="923"/>
    </row>
    <row r="893" spans="1:5" x14ac:dyDescent="0.25">
      <c r="A893" s="922"/>
      <c r="B893" s="923"/>
      <c r="C893" s="923"/>
      <c r="D893" s="923"/>
      <c r="E893" s="923"/>
    </row>
    <row r="894" spans="1:5" x14ac:dyDescent="0.25">
      <c r="A894" s="922"/>
      <c r="B894" s="923"/>
      <c r="C894" s="923"/>
      <c r="D894" s="923"/>
      <c r="E894" s="923"/>
    </row>
    <row r="895" spans="1:5" x14ac:dyDescent="0.25">
      <c r="A895" s="922"/>
      <c r="B895" s="923"/>
      <c r="C895" s="923"/>
      <c r="D895" s="923"/>
      <c r="E895" s="923"/>
    </row>
    <row r="896" spans="1:5" x14ac:dyDescent="0.25">
      <c r="A896" s="922"/>
      <c r="B896" s="923"/>
      <c r="C896" s="923"/>
      <c r="D896" s="923"/>
      <c r="E896" s="923"/>
    </row>
    <row r="897" spans="1:5" x14ac:dyDescent="0.25">
      <c r="A897" s="922"/>
      <c r="B897" s="923"/>
      <c r="C897" s="923"/>
      <c r="D897" s="923"/>
      <c r="E897" s="923"/>
    </row>
    <row r="898" spans="1:5" x14ac:dyDescent="0.25">
      <c r="A898" s="922"/>
      <c r="B898" s="923"/>
      <c r="C898" s="923"/>
      <c r="D898" s="923"/>
      <c r="E898" s="923"/>
    </row>
    <row r="899" spans="1:5" x14ac:dyDescent="0.25">
      <c r="A899" s="922"/>
      <c r="B899" s="923"/>
      <c r="C899" s="923"/>
      <c r="D899" s="923"/>
      <c r="E899" s="923"/>
    </row>
    <row r="900" spans="1:5" x14ac:dyDescent="0.25">
      <c r="A900" s="922"/>
      <c r="B900" s="923"/>
      <c r="C900" s="923"/>
      <c r="D900" s="923"/>
      <c r="E900" s="923"/>
    </row>
    <row r="901" spans="1:5" x14ac:dyDescent="0.25">
      <c r="A901" s="922"/>
      <c r="B901" s="923"/>
      <c r="C901" s="923"/>
      <c r="D901" s="923"/>
      <c r="E901" s="923"/>
    </row>
    <row r="902" spans="1:5" x14ac:dyDescent="0.25">
      <c r="A902" s="922"/>
      <c r="B902" s="923"/>
      <c r="C902" s="923"/>
      <c r="D902" s="923"/>
      <c r="E902" s="923"/>
    </row>
    <row r="903" spans="1:5" x14ac:dyDescent="0.25">
      <c r="A903" s="922"/>
      <c r="B903" s="923"/>
      <c r="C903" s="923"/>
      <c r="D903" s="923"/>
      <c r="E903" s="923"/>
    </row>
    <row r="904" spans="1:5" x14ac:dyDescent="0.25">
      <c r="A904" s="922"/>
      <c r="B904" s="923"/>
      <c r="C904" s="923"/>
      <c r="D904" s="923"/>
      <c r="E904" s="923"/>
    </row>
    <row r="905" spans="1:5" x14ac:dyDescent="0.25">
      <c r="A905" s="922"/>
      <c r="B905" s="923"/>
      <c r="C905" s="923"/>
      <c r="D905" s="923"/>
      <c r="E905" s="923"/>
    </row>
    <row r="906" spans="1:5" x14ac:dyDescent="0.25">
      <c r="A906" s="922"/>
      <c r="B906" s="923"/>
      <c r="C906" s="923"/>
      <c r="D906" s="923"/>
      <c r="E906" s="923"/>
    </row>
    <row r="907" spans="1:5" x14ac:dyDescent="0.25">
      <c r="A907" s="922"/>
      <c r="B907" s="923"/>
      <c r="C907" s="923"/>
      <c r="D907" s="923"/>
      <c r="E907" s="923"/>
    </row>
    <row r="908" spans="1:5" x14ac:dyDescent="0.25">
      <c r="A908" s="922"/>
      <c r="B908" s="923"/>
      <c r="C908" s="923"/>
      <c r="D908" s="923"/>
      <c r="E908" s="923"/>
    </row>
    <row r="909" spans="1:5" x14ac:dyDescent="0.25">
      <c r="A909" s="922"/>
      <c r="B909" s="923"/>
      <c r="C909" s="923"/>
      <c r="D909" s="923"/>
      <c r="E909" s="923"/>
    </row>
    <row r="910" spans="1:5" x14ac:dyDescent="0.25">
      <c r="A910" s="922"/>
      <c r="B910" s="923"/>
      <c r="C910" s="923"/>
      <c r="D910" s="923"/>
      <c r="E910" s="923"/>
    </row>
    <row r="911" spans="1:5" x14ac:dyDescent="0.25">
      <c r="A911" s="922"/>
      <c r="B911" s="923"/>
      <c r="C911" s="923"/>
      <c r="D911" s="923"/>
      <c r="E911" s="923"/>
    </row>
    <row r="912" spans="1:5" x14ac:dyDescent="0.25">
      <c r="A912" s="922"/>
      <c r="B912" s="923"/>
      <c r="C912" s="923"/>
      <c r="D912" s="923"/>
      <c r="E912" s="923"/>
    </row>
    <row r="913" spans="1:5" x14ac:dyDescent="0.25">
      <c r="A913" s="922"/>
      <c r="B913" s="923"/>
      <c r="C913" s="923"/>
      <c r="D913" s="923"/>
      <c r="E913" s="923"/>
    </row>
    <row r="914" spans="1:5" x14ac:dyDescent="0.25">
      <c r="A914" s="922"/>
      <c r="B914" s="923"/>
      <c r="C914" s="923"/>
      <c r="D914" s="923"/>
      <c r="E914" s="923"/>
    </row>
    <row r="915" spans="1:5" x14ac:dyDescent="0.25">
      <c r="A915" s="922"/>
      <c r="B915" s="923"/>
      <c r="C915" s="923"/>
      <c r="D915" s="923"/>
      <c r="E915" s="923"/>
    </row>
    <row r="916" spans="1:5" x14ac:dyDescent="0.25">
      <c r="A916" s="922"/>
      <c r="B916" s="923"/>
      <c r="C916" s="923"/>
      <c r="D916" s="923"/>
      <c r="E916" s="923"/>
    </row>
    <row r="917" spans="1:5" x14ac:dyDescent="0.25">
      <c r="A917" s="922"/>
      <c r="B917" s="923"/>
      <c r="C917" s="923"/>
      <c r="D917" s="923"/>
      <c r="E917" s="923"/>
    </row>
    <row r="918" spans="1:5" x14ac:dyDescent="0.25">
      <c r="A918" s="922"/>
      <c r="B918" s="923"/>
      <c r="C918" s="923"/>
      <c r="D918" s="923"/>
      <c r="E918" s="923"/>
    </row>
    <row r="919" spans="1:5" x14ac:dyDescent="0.25">
      <c r="A919" s="922"/>
      <c r="B919" s="923"/>
      <c r="C919" s="923"/>
      <c r="D919" s="923"/>
      <c r="E919" s="923"/>
    </row>
    <row r="920" spans="1:5" x14ac:dyDescent="0.25">
      <c r="A920" s="922"/>
      <c r="B920" s="923"/>
      <c r="C920" s="923"/>
      <c r="D920" s="923"/>
      <c r="E920" s="923"/>
    </row>
    <row r="921" spans="1:5" x14ac:dyDescent="0.25">
      <c r="A921" s="922"/>
      <c r="B921" s="923"/>
      <c r="C921" s="923"/>
      <c r="D921" s="923"/>
      <c r="E921" s="923"/>
    </row>
    <row r="922" spans="1:5" x14ac:dyDescent="0.25">
      <c r="A922" s="922"/>
      <c r="B922" s="923"/>
      <c r="C922" s="923"/>
      <c r="D922" s="923"/>
      <c r="E922" s="923"/>
    </row>
    <row r="923" spans="1:5" x14ac:dyDescent="0.25">
      <c r="A923" s="922"/>
      <c r="B923" s="923"/>
      <c r="C923" s="923"/>
      <c r="D923" s="923"/>
      <c r="E923" s="923"/>
    </row>
    <row r="924" spans="1:5" x14ac:dyDescent="0.25">
      <c r="A924" s="922"/>
      <c r="B924" s="923"/>
      <c r="C924" s="923"/>
      <c r="D924" s="923"/>
      <c r="E924" s="923"/>
    </row>
    <row r="925" spans="1:5" x14ac:dyDescent="0.25">
      <c r="A925" s="922"/>
      <c r="B925" s="923"/>
      <c r="C925" s="923"/>
      <c r="D925" s="923"/>
      <c r="E925" s="923"/>
    </row>
    <row r="926" spans="1:5" x14ac:dyDescent="0.25">
      <c r="A926" s="922"/>
      <c r="B926" s="923"/>
      <c r="C926" s="923"/>
      <c r="D926" s="923"/>
      <c r="E926" s="923"/>
    </row>
    <row r="927" spans="1:5" x14ac:dyDescent="0.25">
      <c r="A927" s="922"/>
      <c r="B927" s="923"/>
      <c r="C927" s="923"/>
      <c r="D927" s="923"/>
      <c r="E927" s="923"/>
    </row>
    <row r="928" spans="1:5" x14ac:dyDescent="0.25">
      <c r="A928" s="922"/>
      <c r="B928" s="923"/>
      <c r="C928" s="923"/>
      <c r="D928" s="923"/>
      <c r="E928" s="923"/>
    </row>
    <row r="929" spans="1:5" x14ac:dyDescent="0.25">
      <c r="A929" s="922"/>
      <c r="B929" s="923"/>
      <c r="C929" s="923"/>
      <c r="D929" s="923"/>
      <c r="E929" s="923"/>
    </row>
    <row r="930" spans="1:5" x14ac:dyDescent="0.25">
      <c r="A930" s="922"/>
      <c r="B930" s="923"/>
      <c r="C930" s="923"/>
      <c r="D930" s="923"/>
      <c r="E930" s="923"/>
    </row>
    <row r="931" spans="1:5" x14ac:dyDescent="0.25">
      <c r="A931" s="922"/>
      <c r="B931" s="923"/>
      <c r="C931" s="923"/>
      <c r="D931" s="923"/>
      <c r="E931" s="923"/>
    </row>
    <row r="932" spans="1:5" x14ac:dyDescent="0.25">
      <c r="A932" s="922"/>
      <c r="B932" s="923"/>
      <c r="C932" s="923"/>
      <c r="D932" s="923"/>
      <c r="E932" s="923"/>
    </row>
    <row r="933" spans="1:5" x14ac:dyDescent="0.25">
      <c r="A933" s="922"/>
      <c r="B933" s="923"/>
      <c r="C933" s="923"/>
      <c r="D933" s="923"/>
      <c r="E933" s="923"/>
    </row>
    <row r="934" spans="1:5" x14ac:dyDescent="0.25">
      <c r="A934" s="922"/>
      <c r="B934" s="923"/>
      <c r="C934" s="923"/>
      <c r="D934" s="923"/>
      <c r="E934" s="923"/>
    </row>
    <row r="935" spans="1:5" x14ac:dyDescent="0.25">
      <c r="A935" s="922"/>
      <c r="B935" s="923"/>
      <c r="C935" s="923"/>
      <c r="D935" s="923"/>
      <c r="E935" s="923"/>
    </row>
    <row r="936" spans="1:5" x14ac:dyDescent="0.25">
      <c r="A936" s="922"/>
      <c r="B936" s="923"/>
      <c r="C936" s="923"/>
      <c r="D936" s="923"/>
      <c r="E936" s="923"/>
    </row>
    <row r="937" spans="1:5" x14ac:dyDescent="0.25">
      <c r="A937" s="922"/>
      <c r="B937" s="923"/>
      <c r="C937" s="923"/>
      <c r="D937" s="923"/>
      <c r="E937" s="923"/>
    </row>
    <row r="938" spans="1:5" x14ac:dyDescent="0.25">
      <c r="A938" s="922"/>
      <c r="B938" s="923"/>
      <c r="C938" s="923"/>
      <c r="D938" s="923"/>
      <c r="E938" s="923"/>
    </row>
    <row r="939" spans="1:5" x14ac:dyDescent="0.25">
      <c r="A939" s="922"/>
      <c r="B939" s="923"/>
      <c r="C939" s="923"/>
      <c r="D939" s="923"/>
      <c r="E939" s="923"/>
    </row>
    <row r="940" spans="1:5" x14ac:dyDescent="0.25">
      <c r="A940" s="922"/>
      <c r="B940" s="923"/>
      <c r="C940" s="923"/>
      <c r="D940" s="923"/>
      <c r="E940" s="923"/>
    </row>
    <row r="941" spans="1:5" x14ac:dyDescent="0.25">
      <c r="A941" s="922"/>
      <c r="B941" s="923"/>
      <c r="C941" s="923"/>
      <c r="D941" s="923"/>
      <c r="E941" s="923"/>
    </row>
    <row r="942" spans="1:5" x14ac:dyDescent="0.25">
      <c r="A942" s="922"/>
      <c r="B942" s="923"/>
      <c r="C942" s="923"/>
      <c r="D942" s="923"/>
      <c r="E942" s="923"/>
    </row>
    <row r="943" spans="1:5" x14ac:dyDescent="0.25">
      <c r="A943" s="922"/>
      <c r="B943" s="923"/>
      <c r="C943" s="923"/>
      <c r="D943" s="923"/>
      <c r="E943" s="923"/>
    </row>
    <row r="944" spans="1:5" x14ac:dyDescent="0.25">
      <c r="A944" s="922"/>
      <c r="B944" s="923"/>
      <c r="C944" s="923"/>
      <c r="D944" s="923"/>
      <c r="E944" s="923"/>
    </row>
    <row r="945" spans="1:5" x14ac:dyDescent="0.25">
      <c r="A945" s="922"/>
      <c r="B945" s="923"/>
      <c r="C945" s="923"/>
      <c r="D945" s="923"/>
      <c r="E945" s="923"/>
    </row>
    <row r="946" spans="1:5" x14ac:dyDescent="0.25">
      <c r="A946" s="922"/>
      <c r="B946" s="923"/>
      <c r="C946" s="923"/>
      <c r="D946" s="923"/>
      <c r="E946" s="923"/>
    </row>
    <row r="947" spans="1:5" x14ac:dyDescent="0.25">
      <c r="A947" s="922"/>
      <c r="B947" s="923"/>
      <c r="C947" s="923"/>
      <c r="D947" s="923"/>
      <c r="E947" s="923"/>
    </row>
    <row r="948" spans="1:5" x14ac:dyDescent="0.25">
      <c r="A948" s="922"/>
      <c r="B948" s="923"/>
      <c r="C948" s="923"/>
      <c r="D948" s="923"/>
      <c r="E948" s="923"/>
    </row>
    <row r="949" spans="1:5" x14ac:dyDescent="0.25">
      <c r="A949" s="922"/>
      <c r="B949" s="923"/>
      <c r="C949" s="923"/>
      <c r="D949" s="923"/>
      <c r="E949" s="923"/>
    </row>
    <row r="950" spans="1:5" x14ac:dyDescent="0.25">
      <c r="A950" s="922"/>
      <c r="B950" s="923"/>
      <c r="C950" s="923"/>
      <c r="D950" s="923"/>
      <c r="E950" s="923"/>
    </row>
    <row r="951" spans="1:5" x14ac:dyDescent="0.25">
      <c r="A951" s="922"/>
      <c r="B951" s="923"/>
      <c r="C951" s="923"/>
      <c r="D951" s="923"/>
      <c r="E951" s="923"/>
    </row>
    <row r="952" spans="1:5" x14ac:dyDescent="0.25">
      <c r="A952" s="922"/>
      <c r="B952" s="923"/>
      <c r="C952" s="923"/>
      <c r="D952" s="923"/>
      <c r="E952" s="923"/>
    </row>
    <row r="953" spans="1:5" x14ac:dyDescent="0.25">
      <c r="A953" s="922"/>
      <c r="B953" s="923"/>
      <c r="C953" s="923"/>
      <c r="D953" s="923"/>
      <c r="E953" s="923"/>
    </row>
    <row r="954" spans="1:5" x14ac:dyDescent="0.25">
      <c r="A954" s="922"/>
      <c r="B954" s="923"/>
      <c r="C954" s="923"/>
      <c r="D954" s="923"/>
      <c r="E954" s="923"/>
    </row>
    <row r="955" spans="1:5" x14ac:dyDescent="0.25">
      <c r="A955" s="922"/>
      <c r="B955" s="923"/>
      <c r="C955" s="923"/>
      <c r="D955" s="923"/>
      <c r="E955" s="923"/>
    </row>
    <row r="956" spans="1:5" x14ac:dyDescent="0.25">
      <c r="A956" s="922"/>
      <c r="B956" s="923"/>
      <c r="C956" s="923"/>
      <c r="D956" s="923"/>
      <c r="E956" s="923"/>
    </row>
    <row r="957" spans="1:5" x14ac:dyDescent="0.25">
      <c r="A957" s="922"/>
      <c r="B957" s="923"/>
      <c r="C957" s="923"/>
      <c r="D957" s="923"/>
      <c r="E957" s="923"/>
    </row>
    <row r="958" spans="1:5" x14ac:dyDescent="0.25">
      <c r="A958" s="922"/>
      <c r="B958" s="923"/>
      <c r="C958" s="923"/>
      <c r="D958" s="923"/>
      <c r="E958" s="923"/>
    </row>
    <row r="959" spans="1:5" x14ac:dyDescent="0.25">
      <c r="A959" s="922"/>
      <c r="B959" s="923"/>
      <c r="C959" s="923"/>
      <c r="D959" s="923"/>
      <c r="E959" s="923"/>
    </row>
    <row r="960" spans="1:5" x14ac:dyDescent="0.25">
      <c r="A960" s="922"/>
      <c r="B960" s="923"/>
      <c r="C960" s="923"/>
      <c r="D960" s="923"/>
      <c r="E960" s="923"/>
    </row>
    <row r="961" spans="1:5" x14ac:dyDescent="0.25">
      <c r="A961" s="922"/>
      <c r="B961" s="923"/>
      <c r="C961" s="923"/>
      <c r="D961" s="923"/>
      <c r="E961" s="923"/>
    </row>
    <row r="962" spans="1:5" x14ac:dyDescent="0.25">
      <c r="A962" s="922"/>
      <c r="B962" s="923"/>
      <c r="C962" s="923"/>
      <c r="D962" s="923"/>
      <c r="E962" s="923"/>
    </row>
    <row r="963" spans="1:5" x14ac:dyDescent="0.25">
      <c r="A963" s="922"/>
      <c r="B963" s="923"/>
      <c r="C963" s="923"/>
      <c r="D963" s="923"/>
      <c r="E963" s="923"/>
    </row>
    <row r="964" spans="1:5" x14ac:dyDescent="0.25">
      <c r="A964" s="922"/>
      <c r="B964" s="923"/>
      <c r="C964" s="923"/>
      <c r="D964" s="923"/>
      <c r="E964" s="923"/>
    </row>
    <row r="965" spans="1:5" x14ac:dyDescent="0.25">
      <c r="A965" s="922"/>
      <c r="B965" s="923"/>
      <c r="C965" s="923"/>
      <c r="D965" s="923"/>
      <c r="E965" s="923"/>
    </row>
    <row r="966" spans="1:5" x14ac:dyDescent="0.25">
      <c r="A966" s="922"/>
      <c r="B966" s="923"/>
      <c r="C966" s="923"/>
      <c r="D966" s="923"/>
      <c r="E966" s="923"/>
    </row>
    <row r="967" spans="1:5" x14ac:dyDescent="0.25">
      <c r="A967" s="922"/>
      <c r="B967" s="923"/>
      <c r="C967" s="923"/>
      <c r="D967" s="923"/>
      <c r="E967" s="923"/>
    </row>
    <row r="968" spans="1:5" x14ac:dyDescent="0.25">
      <c r="A968" s="922"/>
      <c r="B968" s="923"/>
      <c r="C968" s="923"/>
      <c r="D968" s="923"/>
      <c r="E968" s="923"/>
    </row>
    <row r="969" spans="1:5" x14ac:dyDescent="0.25">
      <c r="A969" s="922"/>
      <c r="B969" s="923"/>
      <c r="C969" s="923"/>
      <c r="D969" s="923"/>
      <c r="E969" s="923"/>
    </row>
    <row r="970" spans="1:5" x14ac:dyDescent="0.25">
      <c r="A970" s="922"/>
      <c r="B970" s="923"/>
      <c r="C970" s="923"/>
      <c r="D970" s="923"/>
      <c r="E970" s="923"/>
    </row>
    <row r="971" spans="1:5" x14ac:dyDescent="0.25">
      <c r="A971" s="922"/>
      <c r="B971" s="923"/>
      <c r="C971" s="923"/>
      <c r="D971" s="923"/>
      <c r="E971" s="923"/>
    </row>
    <row r="972" spans="1:5" x14ac:dyDescent="0.25">
      <c r="A972" s="922"/>
      <c r="B972" s="923"/>
      <c r="C972" s="923"/>
      <c r="D972" s="923"/>
      <c r="E972" s="923"/>
    </row>
    <row r="973" spans="1:5" x14ac:dyDescent="0.25">
      <c r="A973" s="922"/>
      <c r="B973" s="923"/>
      <c r="C973" s="923"/>
      <c r="D973" s="923"/>
      <c r="E973" s="923"/>
    </row>
    <row r="974" spans="1:5" x14ac:dyDescent="0.25">
      <c r="A974" s="922"/>
      <c r="B974" s="923"/>
      <c r="C974" s="923"/>
      <c r="D974" s="923"/>
      <c r="E974" s="923"/>
    </row>
    <row r="975" spans="1:5" x14ac:dyDescent="0.25">
      <c r="A975" s="922"/>
      <c r="B975" s="923"/>
      <c r="C975" s="923"/>
      <c r="D975" s="923"/>
      <c r="E975" s="923"/>
    </row>
    <row r="976" spans="1:5" x14ac:dyDescent="0.25">
      <c r="A976" s="922"/>
      <c r="B976" s="923"/>
      <c r="C976" s="923"/>
      <c r="D976" s="923"/>
      <c r="E976" s="923"/>
    </row>
    <row r="977" spans="1:5" x14ac:dyDescent="0.25">
      <c r="A977" s="922"/>
      <c r="B977" s="923"/>
      <c r="C977" s="923"/>
      <c r="D977" s="923"/>
      <c r="E977" s="923"/>
    </row>
    <row r="978" spans="1:5" x14ac:dyDescent="0.25">
      <c r="A978" s="922"/>
      <c r="B978" s="923"/>
      <c r="C978" s="923"/>
      <c r="D978" s="923"/>
      <c r="E978" s="923"/>
    </row>
    <row r="979" spans="1:5" x14ac:dyDescent="0.25">
      <c r="A979" s="922"/>
      <c r="B979" s="923"/>
      <c r="C979" s="923"/>
      <c r="D979" s="923"/>
      <c r="E979" s="923"/>
    </row>
    <row r="980" spans="1:5" x14ac:dyDescent="0.25">
      <c r="A980" s="922"/>
      <c r="B980" s="923"/>
      <c r="C980" s="923"/>
      <c r="D980" s="923"/>
      <c r="E980" s="923"/>
    </row>
    <row r="981" spans="1:5" x14ac:dyDescent="0.25">
      <c r="A981" s="922"/>
      <c r="B981" s="923"/>
      <c r="C981" s="923"/>
      <c r="D981" s="923"/>
      <c r="E981" s="923"/>
    </row>
    <row r="982" spans="1:5" x14ac:dyDescent="0.25">
      <c r="A982" s="922"/>
      <c r="B982" s="923"/>
      <c r="C982" s="923"/>
      <c r="D982" s="923"/>
      <c r="E982" s="923"/>
    </row>
    <row r="983" spans="1:5" x14ac:dyDescent="0.25">
      <c r="A983" s="922"/>
      <c r="B983" s="923"/>
      <c r="C983" s="923"/>
      <c r="D983" s="923"/>
      <c r="E983" s="923"/>
    </row>
    <row r="984" spans="1:5" x14ac:dyDescent="0.25">
      <c r="A984" s="922"/>
      <c r="B984" s="923"/>
      <c r="C984" s="923"/>
      <c r="D984" s="923"/>
      <c r="E984" s="923"/>
    </row>
    <row r="985" spans="1:5" x14ac:dyDescent="0.25">
      <c r="A985" s="922"/>
      <c r="B985" s="923"/>
      <c r="C985" s="923"/>
      <c r="D985" s="923"/>
      <c r="E985" s="923"/>
    </row>
    <row r="986" spans="1:5" x14ac:dyDescent="0.25">
      <c r="A986" s="922"/>
      <c r="B986" s="923"/>
      <c r="C986" s="923"/>
      <c r="D986" s="923"/>
      <c r="E986" s="923"/>
    </row>
    <row r="987" spans="1:5" x14ac:dyDescent="0.25">
      <c r="A987" s="922"/>
      <c r="B987" s="923"/>
      <c r="C987" s="923"/>
      <c r="D987" s="923"/>
      <c r="E987" s="923"/>
    </row>
    <row r="988" spans="1:5" x14ac:dyDescent="0.25">
      <c r="A988" s="922"/>
      <c r="B988" s="923"/>
      <c r="C988" s="923"/>
      <c r="D988" s="923"/>
      <c r="E988" s="923"/>
    </row>
    <row r="989" spans="1:5" x14ac:dyDescent="0.25">
      <c r="A989" s="922"/>
      <c r="B989" s="923"/>
      <c r="C989" s="923"/>
      <c r="D989" s="923"/>
      <c r="E989" s="923"/>
    </row>
    <row r="990" spans="1:5" x14ac:dyDescent="0.25">
      <c r="A990" s="922"/>
      <c r="B990" s="923"/>
      <c r="C990" s="923"/>
      <c r="D990" s="923"/>
      <c r="E990" s="923"/>
    </row>
    <row r="991" spans="1:5" x14ac:dyDescent="0.25">
      <c r="A991" s="922"/>
      <c r="B991" s="923"/>
      <c r="C991" s="923"/>
      <c r="D991" s="923"/>
      <c r="E991" s="923"/>
    </row>
    <row r="992" spans="1:5" x14ac:dyDescent="0.25">
      <c r="A992" s="922"/>
      <c r="B992" s="923"/>
      <c r="C992" s="923"/>
      <c r="D992" s="923"/>
      <c r="E992" s="923"/>
    </row>
    <row r="993" spans="1:5" x14ac:dyDescent="0.25">
      <c r="A993" s="922"/>
      <c r="B993" s="923"/>
      <c r="C993" s="923"/>
      <c r="D993" s="923"/>
      <c r="E993" s="923"/>
    </row>
    <row r="994" spans="1:5" x14ac:dyDescent="0.25">
      <c r="A994" s="922"/>
      <c r="B994" s="923"/>
      <c r="C994" s="923"/>
      <c r="D994" s="923"/>
      <c r="E994" s="923"/>
    </row>
    <row r="995" spans="1:5" x14ac:dyDescent="0.25">
      <c r="A995" s="922"/>
      <c r="B995" s="923"/>
      <c r="C995" s="923"/>
      <c r="D995" s="923"/>
      <c r="E995" s="923"/>
    </row>
    <row r="996" spans="1:5" x14ac:dyDescent="0.25">
      <c r="A996" s="922"/>
      <c r="B996" s="923"/>
      <c r="C996" s="923"/>
      <c r="D996" s="923"/>
      <c r="E996" s="923"/>
    </row>
    <row r="997" spans="1:5" x14ac:dyDescent="0.25">
      <c r="A997" s="922"/>
      <c r="B997" s="923"/>
      <c r="C997" s="923"/>
      <c r="D997" s="923"/>
      <c r="E997" s="923"/>
    </row>
    <row r="998" spans="1:5" x14ac:dyDescent="0.25">
      <c r="A998" s="922"/>
      <c r="B998" s="923"/>
      <c r="C998" s="923"/>
      <c r="D998" s="923"/>
      <c r="E998" s="923"/>
    </row>
    <row r="999" spans="1:5" x14ac:dyDescent="0.25">
      <c r="A999" s="922"/>
      <c r="B999" s="923"/>
      <c r="C999" s="923"/>
      <c r="D999" s="923"/>
      <c r="E999" s="923"/>
    </row>
    <row r="1000" spans="1:5" x14ac:dyDescent="0.25">
      <c r="A1000" s="922"/>
      <c r="B1000" s="923"/>
      <c r="C1000" s="923"/>
      <c r="D1000" s="923"/>
      <c r="E1000" s="923"/>
    </row>
    <row r="1001" spans="1:5" x14ac:dyDescent="0.25">
      <c r="A1001" s="922"/>
      <c r="B1001" s="923"/>
      <c r="C1001" s="923"/>
      <c r="D1001" s="923"/>
      <c r="E1001" s="923"/>
    </row>
    <row r="1002" spans="1:5" x14ac:dyDescent="0.25">
      <c r="A1002" s="922"/>
      <c r="B1002" s="923"/>
      <c r="C1002" s="923"/>
      <c r="D1002" s="923"/>
      <c r="E1002" s="923"/>
    </row>
    <row r="1003" spans="1:5" x14ac:dyDescent="0.25">
      <c r="A1003" s="922"/>
      <c r="B1003" s="923"/>
      <c r="C1003" s="923"/>
      <c r="D1003" s="923"/>
      <c r="E1003" s="923"/>
    </row>
    <row r="1004" spans="1:5" x14ac:dyDescent="0.25">
      <c r="A1004" s="922"/>
      <c r="B1004" s="923"/>
      <c r="C1004" s="923"/>
      <c r="D1004" s="923"/>
      <c r="E1004" s="923"/>
    </row>
    <row r="1005" spans="1:5" x14ac:dyDescent="0.25">
      <c r="A1005" s="922"/>
      <c r="B1005" s="923"/>
      <c r="C1005" s="923"/>
      <c r="D1005" s="923"/>
      <c r="E1005" s="923"/>
    </row>
    <row r="1006" spans="1:5" x14ac:dyDescent="0.25">
      <c r="A1006" s="922"/>
      <c r="B1006" s="923"/>
      <c r="C1006" s="923"/>
      <c r="D1006" s="923"/>
      <c r="E1006" s="923"/>
    </row>
    <row r="1007" spans="1:5" x14ac:dyDescent="0.25">
      <c r="A1007" s="922"/>
      <c r="B1007" s="923"/>
      <c r="C1007" s="923"/>
      <c r="D1007" s="923"/>
      <c r="E1007" s="923"/>
    </row>
    <row r="1008" spans="1:5" x14ac:dyDescent="0.25">
      <c r="A1008" s="922"/>
      <c r="B1008" s="923"/>
      <c r="C1008" s="923"/>
      <c r="D1008" s="923"/>
      <c r="E1008" s="923"/>
    </row>
    <row r="1009" spans="1:5" x14ac:dyDescent="0.25">
      <c r="A1009" s="922"/>
      <c r="B1009" s="923"/>
      <c r="C1009" s="923"/>
      <c r="D1009" s="923"/>
      <c r="E1009" s="923"/>
    </row>
    <row r="1010" spans="1:5" x14ac:dyDescent="0.25">
      <c r="A1010" s="922"/>
      <c r="B1010" s="923"/>
      <c r="C1010" s="923"/>
      <c r="D1010" s="923"/>
      <c r="E1010" s="923"/>
    </row>
    <row r="1011" spans="1:5" x14ac:dyDescent="0.25">
      <c r="A1011" s="922"/>
      <c r="B1011" s="923"/>
      <c r="C1011" s="923"/>
      <c r="D1011" s="923"/>
      <c r="E1011" s="923"/>
    </row>
    <row r="1012" spans="1:5" x14ac:dyDescent="0.25">
      <c r="A1012" s="922"/>
      <c r="B1012" s="923"/>
      <c r="C1012" s="923"/>
      <c r="D1012" s="923"/>
      <c r="E1012" s="923"/>
    </row>
    <row r="1013" spans="1:5" x14ac:dyDescent="0.25">
      <c r="A1013" s="922"/>
      <c r="B1013" s="923"/>
      <c r="C1013" s="923"/>
      <c r="D1013" s="923"/>
      <c r="E1013" s="923"/>
    </row>
    <row r="1014" spans="1:5" x14ac:dyDescent="0.25">
      <c r="A1014" s="922"/>
      <c r="B1014" s="923"/>
      <c r="C1014" s="923"/>
      <c r="D1014" s="923"/>
      <c r="E1014" s="923"/>
    </row>
    <row r="1015" spans="1:5" x14ac:dyDescent="0.25">
      <c r="A1015" s="922"/>
      <c r="B1015" s="923"/>
      <c r="C1015" s="923"/>
      <c r="D1015" s="923"/>
      <c r="E1015" s="923"/>
    </row>
    <row r="1016" spans="1:5" x14ac:dyDescent="0.25">
      <c r="A1016" s="922"/>
      <c r="B1016" s="923"/>
      <c r="C1016" s="923"/>
      <c r="D1016" s="923"/>
      <c r="E1016" s="923"/>
    </row>
    <row r="1017" spans="1:5" x14ac:dyDescent="0.25">
      <c r="A1017" s="922"/>
      <c r="B1017" s="923"/>
      <c r="C1017" s="923"/>
      <c r="D1017" s="923"/>
      <c r="E1017" s="923"/>
    </row>
    <row r="1018" spans="1:5" x14ac:dyDescent="0.25">
      <c r="A1018" s="922"/>
      <c r="B1018" s="923"/>
      <c r="C1018" s="923"/>
      <c r="D1018" s="923"/>
      <c r="E1018" s="923"/>
    </row>
    <row r="1019" spans="1:5" x14ac:dyDescent="0.25">
      <c r="A1019" s="922"/>
      <c r="B1019" s="923"/>
      <c r="C1019" s="923"/>
      <c r="D1019" s="923"/>
      <c r="E1019" s="923"/>
    </row>
    <row r="1020" spans="1:5" x14ac:dyDescent="0.25">
      <c r="A1020" s="922"/>
      <c r="B1020" s="923"/>
      <c r="C1020" s="923"/>
      <c r="D1020" s="923"/>
      <c r="E1020" s="923"/>
    </row>
    <row r="1021" spans="1:5" x14ac:dyDescent="0.25">
      <c r="A1021" s="922"/>
      <c r="B1021" s="923"/>
      <c r="C1021" s="923"/>
      <c r="D1021" s="923"/>
      <c r="E1021" s="923"/>
    </row>
    <row r="1022" spans="1:5" x14ac:dyDescent="0.25">
      <c r="A1022" s="922"/>
      <c r="B1022" s="923"/>
      <c r="C1022" s="923"/>
      <c r="D1022" s="923"/>
      <c r="E1022" s="923"/>
    </row>
    <row r="1023" spans="1:5" x14ac:dyDescent="0.25">
      <c r="A1023" s="922"/>
      <c r="B1023" s="923"/>
      <c r="C1023" s="923"/>
      <c r="D1023" s="923"/>
      <c r="E1023" s="923"/>
    </row>
    <row r="1024" spans="1:5" x14ac:dyDescent="0.25">
      <c r="A1024" s="922"/>
      <c r="B1024" s="923"/>
      <c r="C1024" s="923"/>
      <c r="D1024" s="923"/>
      <c r="E1024" s="923"/>
    </row>
    <row r="1025" spans="1:5" x14ac:dyDescent="0.25">
      <c r="A1025" s="922"/>
      <c r="B1025" s="923"/>
      <c r="C1025" s="923"/>
      <c r="D1025" s="923"/>
      <c r="E1025" s="923"/>
    </row>
    <row r="1026" spans="1:5" x14ac:dyDescent="0.25">
      <c r="A1026" s="922"/>
      <c r="B1026" s="923"/>
      <c r="C1026" s="923"/>
      <c r="D1026" s="923"/>
      <c r="E1026" s="923"/>
    </row>
    <row r="1027" spans="1:5" x14ac:dyDescent="0.25">
      <c r="A1027" s="922"/>
      <c r="B1027" s="923"/>
      <c r="C1027" s="923"/>
      <c r="D1027" s="923"/>
      <c r="E1027" s="923"/>
    </row>
    <row r="1028" spans="1:5" x14ac:dyDescent="0.25">
      <c r="A1028" s="922"/>
      <c r="B1028" s="923"/>
      <c r="C1028" s="923"/>
      <c r="D1028" s="923"/>
      <c r="E1028" s="923"/>
    </row>
    <row r="1029" spans="1:5" x14ac:dyDescent="0.25">
      <c r="A1029" s="922"/>
      <c r="B1029" s="923"/>
      <c r="C1029" s="923"/>
      <c r="D1029" s="923"/>
      <c r="E1029" s="923"/>
    </row>
    <row r="1030" spans="1:5" x14ac:dyDescent="0.25">
      <c r="A1030" s="922"/>
      <c r="B1030" s="923"/>
      <c r="C1030" s="923"/>
      <c r="D1030" s="923"/>
      <c r="E1030" s="923"/>
    </row>
    <row r="1031" spans="1:5" x14ac:dyDescent="0.25">
      <c r="A1031" s="922"/>
      <c r="B1031" s="923"/>
      <c r="C1031" s="923"/>
      <c r="D1031" s="923"/>
      <c r="E1031" s="923"/>
    </row>
    <row r="1032" spans="1:5" x14ac:dyDescent="0.25">
      <c r="A1032" s="922"/>
      <c r="B1032" s="923"/>
      <c r="C1032" s="923"/>
      <c r="D1032" s="923"/>
      <c r="E1032" s="923"/>
    </row>
    <row r="1033" spans="1:5" x14ac:dyDescent="0.25">
      <c r="A1033" s="922"/>
      <c r="B1033" s="923"/>
      <c r="C1033" s="923"/>
      <c r="D1033" s="923"/>
      <c r="E1033" s="923"/>
    </row>
    <row r="1034" spans="1:5" x14ac:dyDescent="0.25">
      <c r="A1034" s="922"/>
      <c r="B1034" s="923"/>
      <c r="C1034" s="923"/>
      <c r="D1034" s="923"/>
      <c r="E1034" s="923"/>
    </row>
    <row r="1035" spans="1:5" x14ac:dyDescent="0.25">
      <c r="A1035" s="922"/>
      <c r="B1035" s="923"/>
      <c r="C1035" s="923"/>
      <c r="D1035" s="923"/>
      <c r="E1035" s="923"/>
    </row>
    <row r="1036" spans="1:5" x14ac:dyDescent="0.25">
      <c r="A1036" s="922"/>
      <c r="B1036" s="923"/>
      <c r="C1036" s="923"/>
      <c r="D1036" s="923"/>
      <c r="E1036" s="923"/>
    </row>
    <row r="1037" spans="1:5" x14ac:dyDescent="0.25">
      <c r="A1037" s="922"/>
      <c r="B1037" s="923"/>
      <c r="C1037" s="923"/>
      <c r="D1037" s="923"/>
      <c r="E1037" s="923"/>
    </row>
    <row r="1038" spans="1:5" x14ac:dyDescent="0.25">
      <c r="A1038" s="922"/>
      <c r="B1038" s="923"/>
      <c r="C1038" s="923"/>
      <c r="D1038" s="923"/>
      <c r="E1038" s="923"/>
    </row>
    <row r="1039" spans="1:5" x14ac:dyDescent="0.25">
      <c r="A1039" s="922"/>
      <c r="B1039" s="923"/>
      <c r="C1039" s="923"/>
      <c r="D1039" s="923"/>
      <c r="E1039" s="923"/>
    </row>
    <row r="1040" spans="1:5" x14ac:dyDescent="0.25">
      <c r="A1040" s="922"/>
      <c r="B1040" s="923"/>
      <c r="C1040" s="923"/>
      <c r="D1040" s="923"/>
      <c r="E1040" s="923"/>
    </row>
    <row r="1041" spans="1:5" x14ac:dyDescent="0.25">
      <c r="A1041" s="922"/>
      <c r="B1041" s="923"/>
      <c r="C1041" s="923"/>
      <c r="D1041" s="923"/>
      <c r="E1041" s="923"/>
    </row>
    <row r="1042" spans="1:5" x14ac:dyDescent="0.25">
      <c r="A1042" s="922"/>
      <c r="B1042" s="923"/>
      <c r="C1042" s="923"/>
      <c r="D1042" s="923"/>
      <c r="E1042" s="923"/>
    </row>
    <row r="1043" spans="1:5" x14ac:dyDescent="0.25">
      <c r="A1043" s="922"/>
      <c r="B1043" s="923"/>
      <c r="C1043" s="923"/>
      <c r="D1043" s="923"/>
      <c r="E1043" s="923"/>
    </row>
    <row r="1044" spans="1:5" x14ac:dyDescent="0.25">
      <c r="A1044" s="922"/>
      <c r="B1044" s="923"/>
      <c r="C1044" s="923"/>
      <c r="D1044" s="923"/>
      <c r="E1044" s="923"/>
    </row>
    <row r="1045" spans="1:5" x14ac:dyDescent="0.25">
      <c r="A1045" s="922"/>
      <c r="B1045" s="923"/>
      <c r="C1045" s="923"/>
      <c r="D1045" s="923"/>
      <c r="E1045" s="923"/>
    </row>
    <row r="1046" spans="1:5" x14ac:dyDescent="0.25">
      <c r="A1046" s="922"/>
      <c r="B1046" s="923"/>
      <c r="C1046" s="923"/>
      <c r="D1046" s="923"/>
      <c r="E1046" s="923"/>
    </row>
    <row r="1047" spans="1:5" x14ac:dyDescent="0.25">
      <c r="A1047" s="922"/>
      <c r="B1047" s="923"/>
      <c r="C1047" s="923"/>
      <c r="D1047" s="923"/>
      <c r="E1047" s="923"/>
    </row>
    <row r="1048" spans="1:5" x14ac:dyDescent="0.25">
      <c r="A1048" s="922"/>
      <c r="B1048" s="923"/>
      <c r="C1048" s="923"/>
      <c r="D1048" s="923"/>
      <c r="E1048" s="923"/>
    </row>
    <row r="1049" spans="1:5" x14ac:dyDescent="0.25">
      <c r="A1049" s="922"/>
      <c r="B1049" s="923"/>
      <c r="C1049" s="923"/>
      <c r="D1049" s="923"/>
      <c r="E1049" s="923"/>
    </row>
    <row r="1050" spans="1:5" x14ac:dyDescent="0.25">
      <c r="A1050" s="922"/>
      <c r="B1050" s="923"/>
      <c r="C1050" s="923"/>
      <c r="D1050" s="923"/>
      <c r="E1050" s="923"/>
    </row>
    <row r="1051" spans="1:5" x14ac:dyDescent="0.25">
      <c r="A1051" s="922"/>
      <c r="B1051" s="923"/>
      <c r="C1051" s="923"/>
      <c r="D1051" s="923"/>
      <c r="E1051" s="923"/>
    </row>
    <row r="1052" spans="1:5" x14ac:dyDescent="0.25">
      <c r="A1052" s="922"/>
      <c r="B1052" s="923"/>
      <c r="C1052" s="923"/>
      <c r="D1052" s="923"/>
      <c r="E1052" s="923"/>
    </row>
    <row r="1053" spans="1:5" x14ac:dyDescent="0.25">
      <c r="A1053" s="922"/>
      <c r="B1053" s="923"/>
      <c r="C1053" s="923"/>
      <c r="D1053" s="923"/>
      <c r="E1053" s="923"/>
    </row>
    <row r="1054" spans="1:5" x14ac:dyDescent="0.25">
      <c r="A1054" s="922"/>
      <c r="B1054" s="923"/>
      <c r="C1054" s="923"/>
      <c r="D1054" s="923"/>
      <c r="E1054" s="923"/>
    </row>
    <row r="1055" spans="1:5" x14ac:dyDescent="0.25">
      <c r="A1055" s="922"/>
      <c r="B1055" s="923"/>
      <c r="C1055" s="923"/>
      <c r="D1055" s="923"/>
      <c r="E1055" s="923"/>
    </row>
    <row r="1056" spans="1:5" x14ac:dyDescent="0.25">
      <c r="A1056" s="922"/>
      <c r="B1056" s="923"/>
      <c r="C1056" s="923"/>
      <c r="D1056" s="923"/>
      <c r="E1056" s="923"/>
    </row>
    <row r="1057" spans="1:5" x14ac:dyDescent="0.25">
      <c r="A1057" s="922"/>
      <c r="B1057" s="923"/>
      <c r="C1057" s="923"/>
      <c r="D1057" s="923"/>
      <c r="E1057" s="923"/>
    </row>
    <row r="1058" spans="1:5" x14ac:dyDescent="0.25">
      <c r="A1058" s="922"/>
      <c r="B1058" s="923"/>
      <c r="C1058" s="923"/>
      <c r="D1058" s="923"/>
      <c r="E1058" s="923"/>
    </row>
    <row r="1059" spans="1:5" x14ac:dyDescent="0.25">
      <c r="A1059" s="922"/>
      <c r="B1059" s="923"/>
      <c r="C1059" s="923"/>
      <c r="D1059" s="923"/>
      <c r="E1059" s="923"/>
    </row>
    <row r="1060" spans="1:5" x14ac:dyDescent="0.25">
      <c r="A1060" s="922"/>
      <c r="B1060" s="923"/>
      <c r="C1060" s="923"/>
      <c r="D1060" s="923"/>
      <c r="E1060" s="923"/>
    </row>
    <row r="1061" spans="1:5" x14ac:dyDescent="0.25">
      <c r="A1061" s="922"/>
      <c r="B1061" s="923"/>
      <c r="C1061" s="923"/>
      <c r="D1061" s="923"/>
      <c r="E1061" s="923"/>
    </row>
    <row r="1062" spans="1:5" x14ac:dyDescent="0.25">
      <c r="A1062" s="922"/>
      <c r="B1062" s="923"/>
      <c r="C1062" s="923"/>
      <c r="D1062" s="923"/>
      <c r="E1062" s="923"/>
    </row>
    <row r="1063" spans="1:5" x14ac:dyDescent="0.25">
      <c r="A1063" s="922"/>
      <c r="B1063" s="923"/>
      <c r="C1063" s="923"/>
      <c r="D1063" s="923"/>
      <c r="E1063" s="923"/>
    </row>
    <row r="1064" spans="1:5" x14ac:dyDescent="0.25">
      <c r="A1064" s="922"/>
      <c r="B1064" s="923"/>
      <c r="C1064" s="923"/>
      <c r="D1064" s="923"/>
      <c r="E1064" s="923"/>
    </row>
    <row r="1065" spans="1:5" x14ac:dyDescent="0.25">
      <c r="A1065" s="922"/>
      <c r="B1065" s="923"/>
      <c r="C1065" s="923"/>
      <c r="D1065" s="923"/>
      <c r="E1065" s="923"/>
    </row>
    <row r="1066" spans="1:5" x14ac:dyDescent="0.25">
      <c r="A1066" s="922"/>
      <c r="B1066" s="923"/>
      <c r="C1066" s="923"/>
      <c r="D1066" s="923"/>
      <c r="E1066" s="923"/>
    </row>
    <row r="1067" spans="1:5" x14ac:dyDescent="0.25">
      <c r="A1067" s="922"/>
      <c r="B1067" s="923"/>
      <c r="C1067" s="923"/>
      <c r="D1067" s="923"/>
      <c r="E1067" s="923"/>
    </row>
    <row r="1068" spans="1:5" x14ac:dyDescent="0.25">
      <c r="A1068" s="922"/>
      <c r="B1068" s="923"/>
      <c r="C1068" s="923"/>
      <c r="D1068" s="923"/>
      <c r="E1068" s="923"/>
    </row>
    <row r="1069" spans="1:5" x14ac:dyDescent="0.25">
      <c r="A1069" s="922"/>
      <c r="B1069" s="923"/>
      <c r="C1069" s="923"/>
      <c r="D1069" s="923"/>
      <c r="E1069" s="923"/>
    </row>
    <row r="1070" spans="1:5" x14ac:dyDescent="0.25">
      <c r="A1070" s="922"/>
      <c r="B1070" s="923"/>
      <c r="C1070" s="923"/>
      <c r="D1070" s="923"/>
      <c r="E1070" s="923"/>
    </row>
    <row r="1071" spans="1:5" x14ac:dyDescent="0.25">
      <c r="A1071" s="922"/>
      <c r="B1071" s="923"/>
      <c r="C1071" s="923"/>
      <c r="D1071" s="923"/>
      <c r="E1071" s="923"/>
    </row>
    <row r="1072" spans="1:5" x14ac:dyDescent="0.25">
      <c r="A1072" s="922"/>
      <c r="B1072" s="923"/>
      <c r="C1072" s="923"/>
      <c r="D1072" s="923"/>
      <c r="E1072" s="923"/>
    </row>
    <row r="1073" spans="1:5" x14ac:dyDescent="0.25">
      <c r="A1073" s="922"/>
      <c r="B1073" s="923"/>
      <c r="C1073" s="923"/>
      <c r="D1073" s="923"/>
      <c r="E1073" s="923"/>
    </row>
    <row r="1074" spans="1:5" x14ac:dyDescent="0.25">
      <c r="A1074" s="922"/>
      <c r="B1074" s="923"/>
      <c r="C1074" s="923"/>
      <c r="D1074" s="923"/>
      <c r="E1074" s="923"/>
    </row>
    <row r="1075" spans="1:5" x14ac:dyDescent="0.25">
      <c r="A1075" s="922"/>
      <c r="B1075" s="923"/>
      <c r="C1075" s="923"/>
      <c r="D1075" s="923"/>
      <c r="E1075" s="923"/>
    </row>
    <row r="1076" spans="1:5" x14ac:dyDescent="0.25">
      <c r="A1076" s="922"/>
      <c r="B1076" s="923"/>
      <c r="C1076" s="923"/>
      <c r="D1076" s="923"/>
      <c r="E1076" s="923"/>
    </row>
    <row r="1077" spans="1:5" x14ac:dyDescent="0.25">
      <c r="A1077" s="922"/>
      <c r="B1077" s="923"/>
      <c r="C1077" s="923"/>
      <c r="D1077" s="923"/>
      <c r="E1077" s="923"/>
    </row>
    <row r="1078" spans="1:5" x14ac:dyDescent="0.25">
      <c r="A1078" s="922"/>
      <c r="B1078" s="923"/>
      <c r="C1078" s="923"/>
      <c r="D1078" s="923"/>
      <c r="E1078" s="923"/>
    </row>
    <row r="1079" spans="1:5" x14ac:dyDescent="0.25">
      <c r="A1079" s="922"/>
      <c r="B1079" s="923"/>
      <c r="C1079" s="923"/>
      <c r="D1079" s="923"/>
      <c r="E1079" s="923"/>
    </row>
    <row r="1080" spans="1:5" x14ac:dyDescent="0.25">
      <c r="A1080" s="922"/>
      <c r="B1080" s="923"/>
      <c r="C1080" s="923"/>
      <c r="D1080" s="923"/>
      <c r="E1080" s="923"/>
    </row>
    <row r="1081" spans="1:5" x14ac:dyDescent="0.25">
      <c r="A1081" s="922"/>
      <c r="B1081" s="923"/>
      <c r="C1081" s="923"/>
      <c r="D1081" s="923"/>
      <c r="E1081" s="923"/>
    </row>
    <row r="1082" spans="1:5" x14ac:dyDescent="0.25">
      <c r="A1082" s="922"/>
      <c r="B1082" s="923"/>
      <c r="C1082" s="923"/>
      <c r="D1082" s="923"/>
      <c r="E1082" s="923"/>
    </row>
    <row r="1083" spans="1:5" x14ac:dyDescent="0.25">
      <c r="A1083" s="922"/>
      <c r="B1083" s="923"/>
      <c r="C1083" s="923"/>
      <c r="D1083" s="923"/>
      <c r="E1083" s="923"/>
    </row>
    <row r="1084" spans="1:5" x14ac:dyDescent="0.25">
      <c r="A1084" s="922"/>
      <c r="B1084" s="923"/>
      <c r="C1084" s="923"/>
      <c r="D1084" s="923"/>
      <c r="E1084" s="923"/>
    </row>
    <row r="1085" spans="1:5" x14ac:dyDescent="0.25">
      <c r="A1085" s="922"/>
      <c r="B1085" s="923"/>
      <c r="C1085" s="923"/>
      <c r="D1085" s="923"/>
      <c r="E1085" s="923"/>
    </row>
    <row r="1086" spans="1:5" x14ac:dyDescent="0.25">
      <c r="A1086" s="922"/>
      <c r="B1086" s="923"/>
      <c r="C1086" s="923"/>
      <c r="D1086" s="923"/>
      <c r="E1086" s="923"/>
    </row>
    <row r="1087" spans="1:5" x14ac:dyDescent="0.25">
      <c r="A1087" s="922"/>
      <c r="B1087" s="923"/>
      <c r="C1087" s="923"/>
      <c r="D1087" s="923"/>
      <c r="E1087" s="923"/>
    </row>
    <row r="1088" spans="1:5" x14ac:dyDescent="0.25">
      <c r="A1088" s="922"/>
      <c r="B1088" s="923"/>
      <c r="C1088" s="923"/>
      <c r="D1088" s="923"/>
      <c r="E1088" s="923"/>
    </row>
    <row r="1089" spans="1:5" x14ac:dyDescent="0.25">
      <c r="A1089" s="922"/>
      <c r="B1089" s="923"/>
      <c r="C1089" s="923"/>
      <c r="D1089" s="923"/>
      <c r="E1089" s="923"/>
    </row>
    <row r="1090" spans="1:5" x14ac:dyDescent="0.25">
      <c r="A1090" s="922"/>
      <c r="B1090" s="923"/>
      <c r="C1090" s="923"/>
      <c r="D1090" s="923"/>
      <c r="E1090" s="923"/>
    </row>
    <row r="1091" spans="1:5" x14ac:dyDescent="0.25">
      <c r="A1091" s="922"/>
      <c r="B1091" s="923"/>
      <c r="C1091" s="923"/>
      <c r="D1091" s="923"/>
      <c r="E1091" s="923"/>
    </row>
    <row r="1092" spans="1:5" x14ac:dyDescent="0.25">
      <c r="A1092" s="922"/>
      <c r="B1092" s="923"/>
      <c r="C1092" s="923"/>
      <c r="D1092" s="923"/>
      <c r="E1092" s="923"/>
    </row>
    <row r="1093" spans="1:5" x14ac:dyDescent="0.25">
      <c r="A1093" s="922"/>
      <c r="B1093" s="923"/>
      <c r="C1093" s="923"/>
      <c r="D1093" s="923"/>
      <c r="E1093" s="923"/>
    </row>
    <row r="1094" spans="1:5" x14ac:dyDescent="0.25">
      <c r="A1094" s="922"/>
      <c r="B1094" s="923"/>
      <c r="C1094" s="923"/>
      <c r="D1094" s="923"/>
      <c r="E1094" s="923"/>
    </row>
    <row r="1095" spans="1:5" x14ac:dyDescent="0.25">
      <c r="A1095" s="922"/>
      <c r="B1095" s="923"/>
      <c r="C1095" s="923"/>
      <c r="D1095" s="923"/>
      <c r="E1095" s="923"/>
    </row>
    <row r="1096" spans="1:5" x14ac:dyDescent="0.25">
      <c r="A1096" s="922"/>
      <c r="B1096" s="923"/>
      <c r="C1096" s="923"/>
      <c r="D1096" s="923"/>
      <c r="E1096" s="923"/>
    </row>
    <row r="1097" spans="1:5" x14ac:dyDescent="0.25">
      <c r="A1097" s="922"/>
      <c r="B1097" s="923"/>
      <c r="C1097" s="923"/>
      <c r="D1097" s="923"/>
      <c r="E1097" s="923"/>
    </row>
    <row r="1098" spans="1:5" x14ac:dyDescent="0.25">
      <c r="A1098" s="922"/>
      <c r="B1098" s="923"/>
      <c r="C1098" s="923"/>
      <c r="D1098" s="923"/>
      <c r="E1098" s="923"/>
    </row>
    <row r="1099" spans="1:5" x14ac:dyDescent="0.25">
      <c r="A1099" s="922"/>
      <c r="B1099" s="923"/>
      <c r="C1099" s="923"/>
      <c r="D1099" s="923"/>
      <c r="E1099" s="923"/>
    </row>
    <row r="1100" spans="1:5" x14ac:dyDescent="0.25">
      <c r="A1100" s="922"/>
      <c r="B1100" s="923"/>
      <c r="C1100" s="923"/>
      <c r="D1100" s="923"/>
      <c r="E1100" s="923"/>
    </row>
    <row r="1101" spans="1:5" x14ac:dyDescent="0.25">
      <c r="A1101" s="922"/>
      <c r="B1101" s="923"/>
      <c r="C1101" s="923"/>
      <c r="D1101" s="923"/>
      <c r="E1101" s="923"/>
    </row>
    <row r="1102" spans="1:5" x14ac:dyDescent="0.25">
      <c r="A1102" s="922"/>
      <c r="B1102" s="923"/>
      <c r="C1102" s="923"/>
      <c r="D1102" s="923"/>
      <c r="E1102" s="923"/>
    </row>
    <row r="1103" spans="1:5" x14ac:dyDescent="0.25">
      <c r="A1103" s="922"/>
      <c r="B1103" s="923"/>
      <c r="C1103" s="923"/>
      <c r="D1103" s="923"/>
      <c r="E1103" s="923"/>
    </row>
    <row r="1104" spans="1:5" x14ac:dyDescent="0.25">
      <c r="A1104" s="922"/>
      <c r="B1104" s="923"/>
      <c r="C1104" s="923"/>
      <c r="D1104" s="923"/>
      <c r="E1104" s="923"/>
    </row>
    <row r="1105" spans="1:5" x14ac:dyDescent="0.25">
      <c r="A1105" s="922"/>
      <c r="B1105" s="923"/>
      <c r="C1105" s="923"/>
      <c r="D1105" s="923"/>
      <c r="E1105" s="923"/>
    </row>
    <row r="1106" spans="1:5" x14ac:dyDescent="0.25">
      <c r="A1106" s="922"/>
      <c r="B1106" s="923"/>
      <c r="C1106" s="923"/>
      <c r="D1106" s="923"/>
      <c r="E1106" s="923"/>
    </row>
    <row r="1107" spans="1:5" x14ac:dyDescent="0.25">
      <c r="A1107" s="922"/>
      <c r="B1107" s="923"/>
      <c r="C1107" s="923"/>
      <c r="D1107" s="923"/>
      <c r="E1107" s="923"/>
    </row>
    <row r="1108" spans="1:5" x14ac:dyDescent="0.25">
      <c r="A1108" s="922"/>
      <c r="B1108" s="923"/>
      <c r="C1108" s="923"/>
      <c r="D1108" s="923"/>
      <c r="E1108" s="923"/>
    </row>
    <row r="1109" spans="1:5" x14ac:dyDescent="0.25">
      <c r="A1109" s="922"/>
      <c r="B1109" s="923"/>
      <c r="C1109" s="923"/>
      <c r="D1109" s="923"/>
      <c r="E1109" s="923"/>
    </row>
    <row r="1110" spans="1:5" x14ac:dyDescent="0.25">
      <c r="A1110" s="922"/>
      <c r="B1110" s="923"/>
      <c r="C1110" s="923"/>
      <c r="D1110" s="923"/>
      <c r="E1110" s="923"/>
    </row>
    <row r="1111" spans="1:5" x14ac:dyDescent="0.25">
      <c r="A1111" s="922"/>
      <c r="B1111" s="923"/>
      <c r="C1111" s="923"/>
      <c r="D1111" s="923"/>
      <c r="E1111" s="923"/>
    </row>
    <row r="1112" spans="1:5" x14ac:dyDescent="0.25">
      <c r="A1112" s="922"/>
      <c r="B1112" s="923"/>
      <c r="C1112" s="923"/>
      <c r="D1112" s="923"/>
      <c r="E1112" s="923"/>
    </row>
    <row r="1113" spans="1:5" x14ac:dyDescent="0.25">
      <c r="A1113" s="922"/>
      <c r="B1113" s="923"/>
      <c r="C1113" s="923"/>
      <c r="D1113" s="923"/>
      <c r="E1113" s="923"/>
    </row>
    <row r="1114" spans="1:5" x14ac:dyDescent="0.25">
      <c r="A1114" s="922"/>
      <c r="B1114" s="923"/>
      <c r="C1114" s="923"/>
      <c r="D1114" s="923"/>
      <c r="E1114" s="923"/>
    </row>
    <row r="1115" spans="1:5" x14ac:dyDescent="0.25">
      <c r="A1115" s="922"/>
      <c r="B1115" s="923"/>
      <c r="C1115" s="923"/>
      <c r="D1115" s="923"/>
      <c r="E1115" s="923"/>
    </row>
    <row r="1116" spans="1:5" x14ac:dyDescent="0.25">
      <c r="A1116" s="922"/>
      <c r="B1116" s="923"/>
      <c r="C1116" s="923"/>
      <c r="D1116" s="923"/>
      <c r="E1116" s="923"/>
    </row>
    <row r="1117" spans="1:5" x14ac:dyDescent="0.25">
      <c r="A1117" s="922"/>
      <c r="B1117" s="923"/>
      <c r="C1117" s="923"/>
      <c r="D1117" s="923"/>
      <c r="E1117" s="923"/>
    </row>
    <row r="1118" spans="1:5" x14ac:dyDescent="0.25">
      <c r="A1118" s="922"/>
      <c r="B1118" s="923"/>
      <c r="C1118" s="923"/>
      <c r="D1118" s="923"/>
      <c r="E1118" s="923"/>
    </row>
    <row r="1119" spans="1:5" x14ac:dyDescent="0.25">
      <c r="A1119" s="922"/>
      <c r="B1119" s="923"/>
      <c r="C1119" s="923"/>
      <c r="D1119" s="923"/>
      <c r="E1119" s="923"/>
    </row>
    <row r="1120" spans="1:5" x14ac:dyDescent="0.25">
      <c r="A1120" s="922"/>
      <c r="B1120" s="923"/>
      <c r="C1120" s="923"/>
      <c r="D1120" s="923"/>
      <c r="E1120" s="923"/>
    </row>
    <row r="1121" spans="1:5" x14ac:dyDescent="0.25">
      <c r="A1121" s="922"/>
      <c r="B1121" s="923"/>
      <c r="C1121" s="923"/>
      <c r="D1121" s="923"/>
      <c r="E1121" s="923"/>
    </row>
    <row r="1122" spans="1:5" x14ac:dyDescent="0.25">
      <c r="A1122" s="922"/>
      <c r="B1122" s="923"/>
      <c r="C1122" s="923"/>
      <c r="D1122" s="923"/>
      <c r="E1122" s="923"/>
    </row>
    <row r="1123" spans="1:5" x14ac:dyDescent="0.25">
      <c r="A1123" s="922"/>
      <c r="B1123" s="923"/>
      <c r="C1123" s="923"/>
      <c r="D1123" s="923"/>
      <c r="E1123" s="923"/>
    </row>
    <row r="1124" spans="1:5" x14ac:dyDescent="0.25">
      <c r="A1124" s="922"/>
      <c r="B1124" s="923"/>
      <c r="C1124" s="923"/>
      <c r="D1124" s="923"/>
      <c r="E1124" s="923"/>
    </row>
    <row r="1125" spans="1:5" x14ac:dyDescent="0.25">
      <c r="A1125" s="922"/>
      <c r="B1125" s="923"/>
      <c r="C1125" s="923"/>
      <c r="D1125" s="923"/>
      <c r="E1125" s="923"/>
    </row>
    <row r="1126" spans="1:5" x14ac:dyDescent="0.25">
      <c r="A1126" s="922"/>
      <c r="B1126" s="923"/>
      <c r="C1126" s="923"/>
      <c r="D1126" s="923"/>
      <c r="E1126" s="923"/>
    </row>
    <row r="1127" spans="1:5" x14ac:dyDescent="0.25">
      <c r="A1127" s="922"/>
      <c r="B1127" s="923"/>
      <c r="C1127" s="923"/>
      <c r="D1127" s="923"/>
      <c r="E1127" s="923"/>
    </row>
    <row r="1128" spans="1:5" x14ac:dyDescent="0.25">
      <c r="A1128" s="922"/>
      <c r="B1128" s="923"/>
      <c r="C1128" s="923"/>
      <c r="D1128" s="923"/>
      <c r="E1128" s="923"/>
    </row>
    <row r="1129" spans="1:5" x14ac:dyDescent="0.25">
      <c r="A1129" s="922"/>
      <c r="B1129" s="923"/>
      <c r="C1129" s="923"/>
      <c r="D1129" s="923"/>
      <c r="E1129" s="923"/>
    </row>
    <row r="1130" spans="1:5" x14ac:dyDescent="0.25">
      <c r="A1130" s="922"/>
      <c r="B1130" s="923"/>
      <c r="C1130" s="923"/>
      <c r="D1130" s="923"/>
      <c r="E1130" s="923"/>
    </row>
    <row r="1131" spans="1:5" x14ac:dyDescent="0.25">
      <c r="A1131" s="922"/>
      <c r="B1131" s="923"/>
      <c r="C1131" s="923"/>
      <c r="D1131" s="923"/>
      <c r="E1131" s="923"/>
    </row>
    <row r="1132" spans="1:5" x14ac:dyDescent="0.25">
      <c r="A1132" s="922"/>
      <c r="B1132" s="923"/>
      <c r="C1132" s="923"/>
      <c r="D1132" s="923"/>
      <c r="E1132" s="923"/>
    </row>
    <row r="1133" spans="1:5" x14ac:dyDescent="0.25">
      <c r="A1133" s="922"/>
      <c r="B1133" s="923"/>
      <c r="C1133" s="923"/>
      <c r="D1133" s="923"/>
      <c r="E1133" s="923"/>
    </row>
    <row r="1134" spans="1:5" x14ac:dyDescent="0.25">
      <c r="A1134" s="922"/>
      <c r="B1134" s="923"/>
      <c r="C1134" s="923"/>
      <c r="D1134" s="923"/>
      <c r="E1134" s="923"/>
    </row>
    <row r="1135" spans="1:5" x14ac:dyDescent="0.25">
      <c r="A1135" s="922"/>
      <c r="B1135" s="923"/>
      <c r="C1135" s="923"/>
      <c r="D1135" s="923"/>
      <c r="E1135" s="923"/>
    </row>
    <row r="1136" spans="1:5" x14ac:dyDescent="0.25">
      <c r="A1136" s="922"/>
      <c r="B1136" s="923"/>
      <c r="C1136" s="923"/>
      <c r="D1136" s="923"/>
      <c r="E1136" s="923"/>
    </row>
    <row r="1137" spans="1:5" x14ac:dyDescent="0.25">
      <c r="A1137" s="922"/>
      <c r="B1137" s="923"/>
      <c r="C1137" s="923"/>
      <c r="D1137" s="923"/>
      <c r="E1137" s="923"/>
    </row>
    <row r="1138" spans="1:5" x14ac:dyDescent="0.25">
      <c r="A1138" s="922"/>
      <c r="B1138" s="923"/>
      <c r="C1138" s="923"/>
      <c r="D1138" s="923"/>
      <c r="E1138" s="923"/>
    </row>
    <row r="1139" spans="1:5" x14ac:dyDescent="0.25">
      <c r="A1139" s="922"/>
      <c r="B1139" s="923"/>
      <c r="C1139" s="923"/>
      <c r="D1139" s="923"/>
      <c r="E1139" s="923"/>
    </row>
    <row r="1140" spans="1:5" x14ac:dyDescent="0.25">
      <c r="A1140" s="922"/>
      <c r="B1140" s="923"/>
      <c r="C1140" s="923"/>
      <c r="D1140" s="923"/>
      <c r="E1140" s="923"/>
    </row>
    <row r="1141" spans="1:5" x14ac:dyDescent="0.25">
      <c r="A1141" s="922"/>
      <c r="B1141" s="923"/>
      <c r="C1141" s="923"/>
      <c r="D1141" s="923"/>
      <c r="E1141" s="923"/>
    </row>
    <row r="1142" spans="1:5" x14ac:dyDescent="0.25">
      <c r="A1142" s="922"/>
      <c r="B1142" s="923"/>
      <c r="C1142" s="923"/>
      <c r="D1142" s="923"/>
      <c r="E1142" s="923"/>
    </row>
    <row r="1143" spans="1:5" x14ac:dyDescent="0.25">
      <c r="A1143" s="922"/>
      <c r="B1143" s="923"/>
      <c r="C1143" s="923"/>
      <c r="D1143" s="923"/>
      <c r="E1143" s="923"/>
    </row>
    <row r="1144" spans="1:5" x14ac:dyDescent="0.25">
      <c r="A1144" s="922"/>
      <c r="B1144" s="923"/>
      <c r="C1144" s="923"/>
      <c r="D1144" s="923"/>
      <c r="E1144" s="923"/>
    </row>
    <row r="1145" spans="1:5" x14ac:dyDescent="0.25">
      <c r="A1145" s="922"/>
      <c r="B1145" s="923"/>
      <c r="C1145" s="923"/>
      <c r="D1145" s="923"/>
      <c r="E1145" s="923"/>
    </row>
    <row r="1146" spans="1:5" x14ac:dyDescent="0.25">
      <c r="A1146" s="922"/>
      <c r="B1146" s="923"/>
      <c r="C1146" s="923"/>
      <c r="D1146" s="923"/>
      <c r="E1146" s="923"/>
    </row>
    <row r="1147" spans="1:5" x14ac:dyDescent="0.25">
      <c r="A1147" s="922"/>
      <c r="B1147" s="923"/>
      <c r="C1147" s="923"/>
      <c r="D1147" s="923"/>
      <c r="E1147" s="923"/>
    </row>
    <row r="1148" spans="1:5" x14ac:dyDescent="0.25">
      <c r="A1148" s="922"/>
      <c r="B1148" s="923"/>
      <c r="C1148" s="923"/>
      <c r="D1148" s="923"/>
      <c r="E1148" s="923"/>
    </row>
    <row r="1149" spans="1:5" x14ac:dyDescent="0.25">
      <c r="A1149" s="922"/>
      <c r="B1149" s="923"/>
      <c r="C1149" s="923"/>
      <c r="D1149" s="923"/>
      <c r="E1149" s="923"/>
    </row>
    <row r="1150" spans="1:5" x14ac:dyDescent="0.25">
      <c r="A1150" s="922"/>
      <c r="B1150" s="923"/>
      <c r="C1150" s="923"/>
      <c r="D1150" s="923"/>
      <c r="E1150" s="923"/>
    </row>
    <row r="1151" spans="1:5" x14ac:dyDescent="0.25">
      <c r="A1151" s="922"/>
      <c r="B1151" s="923"/>
      <c r="C1151" s="923"/>
      <c r="D1151" s="923"/>
      <c r="E1151" s="923"/>
    </row>
    <row r="1152" spans="1:5" x14ac:dyDescent="0.25">
      <c r="A1152" s="922"/>
      <c r="B1152" s="923"/>
      <c r="C1152" s="923"/>
      <c r="D1152" s="923"/>
      <c r="E1152" s="923"/>
    </row>
    <row r="1153" spans="1:5" x14ac:dyDescent="0.25">
      <c r="A1153" s="922"/>
      <c r="B1153" s="923"/>
      <c r="C1153" s="923"/>
      <c r="D1153" s="923"/>
      <c r="E1153" s="923"/>
    </row>
    <row r="1154" spans="1:5" x14ac:dyDescent="0.25">
      <c r="A1154" s="922"/>
      <c r="B1154" s="923"/>
      <c r="C1154" s="923"/>
      <c r="D1154" s="923"/>
      <c r="E1154" s="923"/>
    </row>
    <row r="1155" spans="1:5" x14ac:dyDescent="0.25">
      <c r="A1155" s="922"/>
      <c r="B1155" s="923"/>
      <c r="C1155" s="923"/>
      <c r="D1155" s="923"/>
      <c r="E1155" s="923"/>
    </row>
    <row r="1156" spans="1:5" x14ac:dyDescent="0.25">
      <c r="A1156" s="922"/>
      <c r="B1156" s="923"/>
      <c r="C1156" s="923"/>
      <c r="D1156" s="923"/>
      <c r="E1156" s="923"/>
    </row>
    <row r="1157" spans="1:5" x14ac:dyDescent="0.25">
      <c r="A1157" s="922"/>
      <c r="B1157" s="923"/>
      <c r="C1157" s="923"/>
      <c r="D1157" s="923"/>
      <c r="E1157" s="923"/>
    </row>
    <row r="1158" spans="1:5" x14ac:dyDescent="0.25">
      <c r="A1158" s="922"/>
      <c r="B1158" s="923"/>
      <c r="C1158" s="923"/>
      <c r="D1158" s="923"/>
      <c r="E1158" s="923"/>
    </row>
    <row r="1159" spans="1:5" x14ac:dyDescent="0.25">
      <c r="A1159" s="922"/>
      <c r="B1159" s="923"/>
      <c r="C1159" s="923"/>
      <c r="D1159" s="923"/>
      <c r="E1159" s="923"/>
    </row>
    <row r="1160" spans="1:5" x14ac:dyDescent="0.25">
      <c r="A1160" s="922"/>
      <c r="B1160" s="923"/>
      <c r="C1160" s="923"/>
      <c r="D1160" s="923"/>
      <c r="E1160" s="923"/>
    </row>
    <row r="1161" spans="1:5" x14ac:dyDescent="0.25">
      <c r="A1161" s="922"/>
      <c r="B1161" s="923"/>
      <c r="C1161" s="923"/>
      <c r="D1161" s="923"/>
      <c r="E1161" s="923"/>
    </row>
    <row r="1162" spans="1:5" x14ac:dyDescent="0.25">
      <c r="A1162" s="922"/>
      <c r="B1162" s="923"/>
      <c r="C1162" s="923"/>
      <c r="D1162" s="923"/>
      <c r="E1162" s="923"/>
    </row>
    <row r="1163" spans="1:5" x14ac:dyDescent="0.25">
      <c r="A1163" s="922"/>
      <c r="B1163" s="923"/>
      <c r="C1163" s="923"/>
      <c r="D1163" s="923"/>
      <c r="E1163" s="923"/>
    </row>
    <row r="1164" spans="1:5" x14ac:dyDescent="0.25">
      <c r="A1164" s="922"/>
      <c r="B1164" s="923"/>
      <c r="C1164" s="923"/>
      <c r="D1164" s="923"/>
      <c r="E1164" s="923"/>
    </row>
    <row r="1165" spans="1:5" x14ac:dyDescent="0.25">
      <c r="A1165" s="922"/>
      <c r="B1165" s="923"/>
      <c r="C1165" s="923"/>
      <c r="D1165" s="923"/>
      <c r="E1165" s="923"/>
    </row>
    <row r="1166" spans="1:5" x14ac:dyDescent="0.25">
      <c r="A1166" s="922"/>
      <c r="B1166" s="923"/>
      <c r="C1166" s="923"/>
      <c r="D1166" s="923"/>
      <c r="E1166" s="923"/>
    </row>
    <row r="1167" spans="1:5" x14ac:dyDescent="0.25">
      <c r="A1167" s="922"/>
      <c r="B1167" s="923"/>
      <c r="C1167" s="923"/>
      <c r="D1167" s="923"/>
      <c r="E1167" s="923"/>
    </row>
    <row r="1168" spans="1:5" x14ac:dyDescent="0.25">
      <c r="A1168" s="922"/>
      <c r="B1168" s="923"/>
      <c r="C1168" s="923"/>
      <c r="D1168" s="923"/>
      <c r="E1168" s="923"/>
    </row>
    <row r="1169" spans="1:5" x14ac:dyDescent="0.25">
      <c r="A1169" s="922"/>
      <c r="B1169" s="923"/>
      <c r="C1169" s="923"/>
      <c r="D1169" s="923"/>
      <c r="E1169" s="923"/>
    </row>
    <row r="1170" spans="1:5" x14ac:dyDescent="0.25">
      <c r="A1170" s="922"/>
      <c r="B1170" s="923"/>
      <c r="C1170" s="923"/>
      <c r="D1170" s="923"/>
      <c r="E1170" s="923"/>
    </row>
    <row r="1171" spans="1:5" x14ac:dyDescent="0.25">
      <c r="A1171" s="922"/>
      <c r="B1171" s="923"/>
      <c r="C1171" s="923"/>
      <c r="D1171" s="923"/>
      <c r="E1171" s="923"/>
    </row>
    <row r="1172" spans="1:5" x14ac:dyDescent="0.25">
      <c r="A1172" s="922"/>
      <c r="B1172" s="923"/>
      <c r="C1172" s="923"/>
      <c r="D1172" s="923"/>
      <c r="E1172" s="923"/>
    </row>
    <row r="1173" spans="1:5" x14ac:dyDescent="0.25">
      <c r="A1173" s="922"/>
      <c r="B1173" s="923"/>
      <c r="C1173" s="923"/>
      <c r="D1173" s="923"/>
      <c r="E1173" s="923"/>
    </row>
    <row r="1174" spans="1:5" x14ac:dyDescent="0.25">
      <c r="A1174" s="922"/>
      <c r="B1174" s="923"/>
      <c r="C1174" s="923"/>
      <c r="D1174" s="923"/>
      <c r="E1174" s="923"/>
    </row>
    <row r="1175" spans="1:5" x14ac:dyDescent="0.25">
      <c r="A1175" s="922"/>
      <c r="B1175" s="923"/>
      <c r="C1175" s="923"/>
      <c r="D1175" s="923"/>
      <c r="E1175" s="923"/>
    </row>
    <row r="1176" spans="1:5" x14ac:dyDescent="0.25">
      <c r="A1176" s="922"/>
      <c r="B1176" s="923"/>
      <c r="C1176" s="923"/>
      <c r="D1176" s="923"/>
      <c r="E1176" s="923"/>
    </row>
    <row r="1177" spans="1:5" x14ac:dyDescent="0.25">
      <c r="A1177" s="922"/>
      <c r="B1177" s="923"/>
      <c r="C1177" s="923"/>
      <c r="D1177" s="923"/>
      <c r="E1177" s="923"/>
    </row>
    <row r="1178" spans="1:5" x14ac:dyDescent="0.25">
      <c r="A1178" s="922"/>
      <c r="B1178" s="923"/>
      <c r="C1178" s="923"/>
      <c r="D1178" s="923"/>
      <c r="E1178" s="923"/>
    </row>
    <row r="1179" spans="1:5" x14ac:dyDescent="0.25">
      <c r="A1179" s="922"/>
      <c r="B1179" s="923"/>
      <c r="C1179" s="923"/>
      <c r="D1179" s="923"/>
      <c r="E1179" s="923"/>
    </row>
    <row r="1180" spans="1:5" x14ac:dyDescent="0.25">
      <c r="A1180" s="922"/>
      <c r="B1180" s="923"/>
      <c r="C1180" s="923"/>
      <c r="D1180" s="923"/>
      <c r="E1180" s="923"/>
    </row>
    <row r="1181" spans="1:5" x14ac:dyDescent="0.25">
      <c r="A1181" s="922"/>
      <c r="B1181" s="923"/>
      <c r="C1181" s="923"/>
      <c r="D1181" s="923"/>
      <c r="E1181" s="923"/>
    </row>
    <row r="1182" spans="1:5" x14ac:dyDescent="0.25">
      <c r="A1182" s="922"/>
      <c r="B1182" s="923"/>
      <c r="C1182" s="923"/>
      <c r="D1182" s="923"/>
      <c r="E1182" s="923"/>
    </row>
    <row r="1183" spans="1:5" x14ac:dyDescent="0.25">
      <c r="A1183" s="922"/>
      <c r="B1183" s="923"/>
      <c r="C1183" s="923"/>
      <c r="D1183" s="923"/>
      <c r="E1183" s="923"/>
    </row>
    <row r="1184" spans="1:5" x14ac:dyDescent="0.25">
      <c r="A1184" s="922"/>
      <c r="B1184" s="923"/>
      <c r="C1184" s="923"/>
      <c r="D1184" s="923"/>
      <c r="E1184" s="923"/>
    </row>
    <row r="1185" spans="1:5" x14ac:dyDescent="0.25">
      <c r="A1185" s="922"/>
      <c r="B1185" s="923"/>
      <c r="C1185" s="923"/>
      <c r="D1185" s="923"/>
      <c r="E1185" s="923"/>
    </row>
    <row r="1186" spans="1:5" x14ac:dyDescent="0.25">
      <c r="A1186" s="922"/>
      <c r="B1186" s="923"/>
      <c r="C1186" s="923"/>
      <c r="D1186" s="923"/>
      <c r="E1186" s="923"/>
    </row>
    <row r="1187" spans="1:5" x14ac:dyDescent="0.25">
      <c r="A1187" s="922"/>
      <c r="B1187" s="923"/>
      <c r="C1187" s="923"/>
      <c r="D1187" s="923"/>
      <c r="E1187" s="923"/>
    </row>
    <row r="1188" spans="1:5" x14ac:dyDescent="0.25">
      <c r="A1188" s="922"/>
      <c r="B1188" s="923"/>
      <c r="C1188" s="923"/>
      <c r="D1188" s="923"/>
      <c r="E1188" s="923"/>
    </row>
    <row r="1189" spans="1:5" x14ac:dyDescent="0.25">
      <c r="A1189" s="922"/>
      <c r="B1189" s="923"/>
      <c r="C1189" s="923"/>
      <c r="D1189" s="923"/>
      <c r="E1189" s="923"/>
    </row>
    <row r="1190" spans="1:5" x14ac:dyDescent="0.25">
      <c r="A1190" s="922"/>
      <c r="B1190" s="923"/>
      <c r="C1190" s="923"/>
      <c r="D1190" s="923"/>
      <c r="E1190" s="923"/>
    </row>
    <row r="1191" spans="1:5" x14ac:dyDescent="0.25">
      <c r="A1191" s="922"/>
      <c r="B1191" s="923"/>
      <c r="C1191" s="923"/>
      <c r="D1191" s="923"/>
      <c r="E1191" s="923"/>
    </row>
    <row r="1192" spans="1:5" x14ac:dyDescent="0.25">
      <c r="A1192" s="922"/>
      <c r="B1192" s="923"/>
      <c r="C1192" s="923"/>
      <c r="D1192" s="923"/>
      <c r="E1192" s="923"/>
    </row>
    <row r="1193" spans="1:5" x14ac:dyDescent="0.25">
      <c r="A1193" s="922"/>
      <c r="B1193" s="923"/>
      <c r="C1193" s="923"/>
      <c r="D1193" s="923"/>
      <c r="E1193" s="923"/>
    </row>
    <row r="1194" spans="1:5" x14ac:dyDescent="0.25">
      <c r="A1194" s="922"/>
      <c r="B1194" s="923"/>
      <c r="C1194" s="923"/>
      <c r="D1194" s="923"/>
      <c r="E1194" s="923"/>
    </row>
    <row r="1195" spans="1:5" x14ac:dyDescent="0.25">
      <c r="A1195" s="922"/>
      <c r="B1195" s="923"/>
      <c r="C1195" s="923"/>
      <c r="D1195" s="923"/>
      <c r="E1195" s="923"/>
    </row>
    <row r="1196" spans="1:5" x14ac:dyDescent="0.25">
      <c r="A1196" s="922"/>
      <c r="B1196" s="923"/>
      <c r="C1196" s="923"/>
      <c r="D1196" s="923"/>
      <c r="E1196" s="923"/>
    </row>
    <row r="1197" spans="1:5" x14ac:dyDescent="0.25">
      <c r="A1197" s="922"/>
      <c r="B1197" s="923"/>
      <c r="C1197" s="923"/>
      <c r="D1197" s="923"/>
      <c r="E1197" s="923"/>
    </row>
    <row r="1198" spans="1:5" x14ac:dyDescent="0.25">
      <c r="A1198" s="922"/>
      <c r="B1198" s="923"/>
      <c r="C1198" s="923"/>
      <c r="D1198" s="923"/>
      <c r="E1198" s="923"/>
    </row>
    <row r="1199" spans="1:5" x14ac:dyDescent="0.25">
      <c r="A1199" s="922"/>
      <c r="B1199" s="923"/>
      <c r="C1199" s="923"/>
      <c r="D1199" s="923"/>
      <c r="E1199" s="923"/>
    </row>
    <row r="1200" spans="1:5" x14ac:dyDescent="0.25">
      <c r="A1200" s="922"/>
      <c r="B1200" s="923"/>
      <c r="C1200" s="923"/>
      <c r="D1200" s="923"/>
      <c r="E1200" s="923"/>
    </row>
    <row r="1201" spans="1:5" x14ac:dyDescent="0.25">
      <c r="A1201" s="922"/>
      <c r="B1201" s="923"/>
      <c r="C1201" s="923"/>
      <c r="D1201" s="923"/>
      <c r="E1201" s="923"/>
    </row>
    <row r="1202" spans="1:5" x14ac:dyDescent="0.25">
      <c r="A1202" s="922"/>
      <c r="B1202" s="923"/>
      <c r="C1202" s="923"/>
      <c r="D1202" s="923"/>
      <c r="E1202" s="923"/>
    </row>
    <row r="1203" spans="1:5" x14ac:dyDescent="0.25">
      <c r="A1203" s="922"/>
      <c r="B1203" s="923"/>
      <c r="C1203" s="923"/>
      <c r="D1203" s="923"/>
      <c r="E1203" s="923"/>
    </row>
    <row r="1204" spans="1:5" x14ac:dyDescent="0.25">
      <c r="A1204" s="922"/>
      <c r="B1204" s="923"/>
      <c r="C1204" s="923"/>
      <c r="D1204" s="923"/>
      <c r="E1204" s="923"/>
    </row>
    <row r="1205" spans="1:5" x14ac:dyDescent="0.25">
      <c r="A1205" s="922"/>
      <c r="B1205" s="923"/>
      <c r="C1205" s="923"/>
      <c r="D1205" s="923"/>
      <c r="E1205" s="923"/>
    </row>
    <row r="1206" spans="1:5" x14ac:dyDescent="0.25">
      <c r="A1206" s="922"/>
      <c r="B1206" s="923"/>
      <c r="C1206" s="923"/>
      <c r="D1206" s="923"/>
      <c r="E1206" s="923"/>
    </row>
    <row r="1207" spans="1:5" x14ac:dyDescent="0.25">
      <c r="A1207" s="922"/>
      <c r="B1207" s="923"/>
      <c r="C1207" s="923"/>
      <c r="D1207" s="923"/>
      <c r="E1207" s="923"/>
    </row>
    <row r="1208" spans="1:5" x14ac:dyDescent="0.25">
      <c r="A1208" s="922"/>
      <c r="B1208" s="923"/>
      <c r="C1208" s="923"/>
      <c r="D1208" s="923"/>
      <c r="E1208" s="923"/>
    </row>
    <row r="1209" spans="1:5" x14ac:dyDescent="0.25">
      <c r="A1209" s="922"/>
      <c r="B1209" s="923"/>
      <c r="C1209" s="923"/>
      <c r="D1209" s="923"/>
      <c r="E1209" s="923"/>
    </row>
    <row r="1210" spans="1:5" x14ac:dyDescent="0.25">
      <c r="A1210" s="922"/>
      <c r="B1210" s="923"/>
      <c r="C1210" s="923"/>
      <c r="D1210" s="923"/>
      <c r="E1210" s="923"/>
    </row>
    <row r="1211" spans="1:5" x14ac:dyDescent="0.25">
      <c r="A1211" s="922"/>
      <c r="B1211" s="923"/>
      <c r="C1211" s="923"/>
      <c r="D1211" s="923"/>
      <c r="E1211" s="923"/>
    </row>
    <row r="1212" spans="1:5" x14ac:dyDescent="0.25">
      <c r="A1212" s="922"/>
      <c r="B1212" s="923"/>
      <c r="C1212" s="923"/>
      <c r="D1212" s="923"/>
      <c r="E1212" s="923"/>
    </row>
    <row r="1213" spans="1:5" x14ac:dyDescent="0.25">
      <c r="A1213" s="922"/>
      <c r="B1213" s="923"/>
      <c r="C1213" s="923"/>
      <c r="D1213" s="923"/>
      <c r="E1213" s="923"/>
    </row>
    <row r="1214" spans="1:5" x14ac:dyDescent="0.25">
      <c r="A1214" s="922"/>
      <c r="B1214" s="923"/>
      <c r="C1214" s="923"/>
      <c r="D1214" s="923"/>
      <c r="E1214" s="923"/>
    </row>
    <row r="1215" spans="1:5" x14ac:dyDescent="0.25">
      <c r="A1215" s="922"/>
      <c r="B1215" s="923"/>
      <c r="C1215" s="923"/>
      <c r="D1215" s="923"/>
      <c r="E1215" s="923"/>
    </row>
    <row r="1216" spans="1:5" x14ac:dyDescent="0.25">
      <c r="A1216" s="922"/>
      <c r="B1216" s="923"/>
      <c r="C1216" s="923"/>
      <c r="D1216" s="923"/>
      <c r="E1216" s="923"/>
    </row>
    <row r="1217" spans="1:5" x14ac:dyDescent="0.25">
      <c r="A1217" s="922"/>
      <c r="B1217" s="923"/>
      <c r="C1217" s="923"/>
      <c r="D1217" s="923"/>
      <c r="E1217" s="923"/>
    </row>
    <row r="1218" spans="1:5" x14ac:dyDescent="0.25">
      <c r="A1218" s="922"/>
      <c r="B1218" s="923"/>
      <c r="C1218" s="923"/>
      <c r="D1218" s="923"/>
      <c r="E1218" s="923"/>
    </row>
    <row r="1219" spans="1:5" x14ac:dyDescent="0.25">
      <c r="A1219" s="922"/>
      <c r="B1219" s="923"/>
      <c r="C1219" s="923"/>
      <c r="D1219" s="923"/>
      <c r="E1219" s="923"/>
    </row>
    <row r="1220" spans="1:5" x14ac:dyDescent="0.25">
      <c r="A1220" s="922"/>
      <c r="B1220" s="923"/>
      <c r="C1220" s="923"/>
      <c r="D1220" s="923"/>
      <c r="E1220" s="923"/>
    </row>
    <row r="1221" spans="1:5" x14ac:dyDescent="0.25">
      <c r="A1221" s="922"/>
      <c r="B1221" s="923"/>
      <c r="C1221" s="923"/>
      <c r="D1221" s="923"/>
      <c r="E1221" s="923"/>
    </row>
    <row r="1222" spans="1:5" x14ac:dyDescent="0.25">
      <c r="A1222" s="922"/>
      <c r="B1222" s="923"/>
      <c r="C1222" s="923"/>
      <c r="D1222" s="923"/>
      <c r="E1222" s="923"/>
    </row>
    <row r="1223" spans="1:5" x14ac:dyDescent="0.25">
      <c r="A1223" s="922"/>
      <c r="B1223" s="923"/>
      <c r="C1223" s="923"/>
      <c r="D1223" s="923"/>
      <c r="E1223" s="923"/>
    </row>
    <row r="1224" spans="1:5" x14ac:dyDescent="0.25">
      <c r="A1224" s="922"/>
      <c r="B1224" s="923"/>
      <c r="C1224" s="923"/>
      <c r="D1224" s="923"/>
      <c r="E1224" s="923"/>
    </row>
    <row r="1225" spans="1:5" x14ac:dyDescent="0.25">
      <c r="A1225" s="922"/>
      <c r="B1225" s="923"/>
      <c r="C1225" s="923"/>
      <c r="D1225" s="923"/>
      <c r="E1225" s="923"/>
    </row>
    <row r="1226" spans="1:5" x14ac:dyDescent="0.25">
      <c r="A1226" s="922"/>
      <c r="B1226" s="923"/>
      <c r="C1226" s="923"/>
      <c r="D1226" s="923"/>
      <c r="E1226" s="923"/>
    </row>
    <row r="1227" spans="1:5" x14ac:dyDescent="0.25">
      <c r="A1227" s="922"/>
      <c r="B1227" s="923"/>
      <c r="C1227" s="923"/>
      <c r="D1227" s="923"/>
      <c r="E1227" s="923"/>
    </row>
    <row r="1228" spans="1:5" x14ac:dyDescent="0.25">
      <c r="A1228" s="922"/>
      <c r="B1228" s="923"/>
      <c r="C1228" s="923"/>
      <c r="D1228" s="923"/>
      <c r="E1228" s="923"/>
    </row>
    <row r="1229" spans="1:5" x14ac:dyDescent="0.25">
      <c r="A1229" s="922"/>
      <c r="B1229" s="923"/>
      <c r="C1229" s="923"/>
      <c r="D1229" s="923"/>
      <c r="E1229" s="923"/>
    </row>
    <row r="1230" spans="1:5" x14ac:dyDescent="0.25">
      <c r="A1230" s="922"/>
      <c r="B1230" s="923"/>
      <c r="C1230" s="923"/>
      <c r="D1230" s="923"/>
      <c r="E1230" s="923"/>
    </row>
    <row r="1231" spans="1:5" x14ac:dyDescent="0.25">
      <c r="A1231" s="922"/>
      <c r="B1231" s="923"/>
      <c r="C1231" s="923"/>
      <c r="D1231" s="923"/>
      <c r="E1231" s="923"/>
    </row>
    <row r="1232" spans="1:5" x14ac:dyDescent="0.25">
      <c r="A1232" s="922"/>
      <c r="B1232" s="923"/>
      <c r="C1232" s="923"/>
      <c r="D1232" s="923"/>
      <c r="E1232" s="923"/>
    </row>
    <row r="1233" spans="1:5" x14ac:dyDescent="0.25">
      <c r="A1233" s="922"/>
      <c r="B1233" s="923"/>
      <c r="C1233" s="923"/>
      <c r="D1233" s="923"/>
      <c r="E1233" s="923"/>
    </row>
    <row r="1234" spans="1:5" x14ac:dyDescent="0.25">
      <c r="A1234" s="922"/>
      <c r="B1234" s="923"/>
      <c r="C1234" s="923"/>
      <c r="D1234" s="923"/>
      <c r="E1234" s="923"/>
    </row>
    <row r="1235" spans="1:5" x14ac:dyDescent="0.25">
      <c r="A1235" s="922"/>
      <c r="B1235" s="923"/>
      <c r="C1235" s="923"/>
      <c r="D1235" s="923"/>
      <c r="E1235" s="923"/>
    </row>
    <row r="1236" spans="1:5" x14ac:dyDescent="0.25">
      <c r="A1236" s="922"/>
      <c r="B1236" s="923"/>
      <c r="C1236" s="923"/>
      <c r="D1236" s="923"/>
      <c r="E1236" s="923"/>
    </row>
    <row r="1237" spans="1:5" x14ac:dyDescent="0.25">
      <c r="A1237" s="922"/>
      <c r="B1237" s="923"/>
      <c r="C1237" s="923"/>
      <c r="D1237" s="923"/>
      <c r="E1237" s="923"/>
    </row>
    <row r="1238" spans="1:5" x14ac:dyDescent="0.25">
      <c r="A1238" s="922"/>
      <c r="B1238" s="923"/>
      <c r="C1238" s="923"/>
      <c r="D1238" s="923"/>
      <c r="E1238" s="923"/>
    </row>
    <row r="1239" spans="1:5" x14ac:dyDescent="0.25">
      <c r="A1239" s="922"/>
      <c r="B1239" s="923"/>
      <c r="C1239" s="923"/>
      <c r="D1239" s="923"/>
      <c r="E1239" s="923"/>
    </row>
    <row r="1240" spans="1:5" x14ac:dyDescent="0.25">
      <c r="A1240" s="922"/>
      <c r="B1240" s="923"/>
      <c r="C1240" s="923"/>
      <c r="D1240" s="923"/>
      <c r="E1240" s="923"/>
    </row>
    <row r="1241" spans="1:5" x14ac:dyDescent="0.25">
      <c r="A1241" s="922"/>
      <c r="B1241" s="923"/>
      <c r="C1241" s="923"/>
      <c r="D1241" s="923"/>
      <c r="E1241" s="923"/>
    </row>
    <row r="1242" spans="1:5" x14ac:dyDescent="0.25">
      <c r="A1242" s="922"/>
      <c r="B1242" s="923"/>
      <c r="C1242" s="923"/>
      <c r="D1242" s="923"/>
      <c r="E1242" s="923"/>
    </row>
    <row r="1243" spans="1:5" x14ac:dyDescent="0.25">
      <c r="A1243" s="922"/>
      <c r="B1243" s="923"/>
      <c r="C1243" s="923"/>
      <c r="D1243" s="923"/>
      <c r="E1243" s="923"/>
    </row>
    <row r="1244" spans="1:5" x14ac:dyDescent="0.25">
      <c r="A1244" s="922"/>
      <c r="B1244" s="923"/>
      <c r="C1244" s="923"/>
      <c r="D1244" s="923"/>
      <c r="E1244" s="923"/>
    </row>
    <row r="1245" spans="1:5" x14ac:dyDescent="0.25">
      <c r="A1245" s="922"/>
      <c r="B1245" s="923"/>
      <c r="C1245" s="923"/>
      <c r="D1245" s="923"/>
      <c r="E1245" s="923"/>
    </row>
    <row r="1246" spans="1:5" x14ac:dyDescent="0.25">
      <c r="A1246" s="922"/>
      <c r="B1246" s="923"/>
      <c r="C1246" s="923"/>
      <c r="D1246" s="923"/>
      <c r="E1246" s="923"/>
    </row>
    <row r="1247" spans="1:5" x14ac:dyDescent="0.25">
      <c r="A1247" s="922"/>
      <c r="B1247" s="923"/>
      <c r="C1247" s="923"/>
      <c r="D1247" s="923"/>
      <c r="E1247" s="923"/>
    </row>
    <row r="1248" spans="1:5" x14ac:dyDescent="0.25">
      <c r="A1248" s="922"/>
      <c r="B1248" s="923"/>
      <c r="C1248" s="923"/>
      <c r="D1248" s="923"/>
      <c r="E1248" s="923"/>
    </row>
    <row r="1249" spans="1:5" x14ac:dyDescent="0.25">
      <c r="A1249" s="922"/>
      <c r="B1249" s="923"/>
      <c r="C1249" s="923"/>
      <c r="D1249" s="923"/>
      <c r="E1249" s="923"/>
    </row>
    <row r="1250" spans="1:5" x14ac:dyDescent="0.25">
      <c r="A1250" s="922"/>
      <c r="B1250" s="923"/>
      <c r="C1250" s="923"/>
      <c r="D1250" s="923"/>
      <c r="E1250" s="923"/>
    </row>
    <row r="1251" spans="1:5" x14ac:dyDescent="0.25">
      <c r="A1251" s="922"/>
      <c r="B1251" s="923"/>
      <c r="C1251" s="923"/>
      <c r="D1251" s="923"/>
      <c r="E1251" s="923"/>
    </row>
    <row r="1252" spans="1:5" x14ac:dyDescent="0.25">
      <c r="A1252" s="922"/>
      <c r="B1252" s="923"/>
      <c r="C1252" s="923"/>
      <c r="D1252" s="923"/>
      <c r="E1252" s="923"/>
    </row>
    <row r="1253" spans="1:5" x14ac:dyDescent="0.25">
      <c r="A1253" s="922"/>
      <c r="B1253" s="923"/>
      <c r="C1253" s="923"/>
      <c r="D1253" s="923"/>
      <c r="E1253" s="923"/>
    </row>
    <row r="1254" spans="1:5" x14ac:dyDescent="0.25">
      <c r="A1254" s="922"/>
      <c r="B1254" s="923"/>
      <c r="C1254" s="923"/>
      <c r="D1254" s="923"/>
      <c r="E1254" s="923"/>
    </row>
    <row r="1255" spans="1:5" x14ac:dyDescent="0.25">
      <c r="A1255" s="922"/>
      <c r="B1255" s="923"/>
      <c r="C1255" s="923"/>
      <c r="D1255" s="923"/>
      <c r="E1255" s="923"/>
    </row>
    <row r="1256" spans="1:5" x14ac:dyDescent="0.25">
      <c r="A1256" s="922"/>
      <c r="B1256" s="923"/>
      <c r="C1256" s="923"/>
      <c r="D1256" s="923"/>
      <c r="E1256" s="923"/>
    </row>
    <row r="1257" spans="1:5" x14ac:dyDescent="0.25">
      <c r="A1257" s="922"/>
      <c r="B1257" s="923"/>
      <c r="C1257" s="923"/>
      <c r="D1257" s="923"/>
      <c r="E1257" s="923"/>
    </row>
    <row r="1258" spans="1:5" x14ac:dyDescent="0.25">
      <c r="A1258" s="922"/>
      <c r="B1258" s="923"/>
      <c r="C1258" s="923"/>
      <c r="D1258" s="923"/>
      <c r="E1258" s="923"/>
    </row>
    <row r="1259" spans="1:5" x14ac:dyDescent="0.25">
      <c r="A1259" s="922"/>
      <c r="B1259" s="923"/>
      <c r="C1259" s="923"/>
      <c r="D1259" s="923"/>
      <c r="E1259" s="923"/>
    </row>
    <row r="1260" spans="1:5" x14ac:dyDescent="0.25">
      <c r="A1260" s="922"/>
      <c r="B1260" s="923"/>
      <c r="C1260" s="923"/>
      <c r="D1260" s="923"/>
      <c r="E1260" s="923"/>
    </row>
    <row r="1261" spans="1:5" x14ac:dyDescent="0.25">
      <c r="A1261" s="922"/>
      <c r="B1261" s="923"/>
      <c r="C1261" s="923"/>
      <c r="D1261" s="923"/>
      <c r="E1261" s="923"/>
    </row>
    <row r="1262" spans="1:5" x14ac:dyDescent="0.25">
      <c r="A1262" s="922"/>
      <c r="B1262" s="923"/>
      <c r="C1262" s="923"/>
      <c r="D1262" s="923"/>
      <c r="E1262" s="923"/>
    </row>
    <row r="1263" spans="1:5" x14ac:dyDescent="0.25">
      <c r="A1263" s="922"/>
      <c r="B1263" s="923"/>
      <c r="C1263" s="923"/>
      <c r="D1263" s="923"/>
      <c r="E1263" s="923"/>
    </row>
    <row r="1264" spans="1:5" x14ac:dyDescent="0.25">
      <c r="A1264" s="922"/>
      <c r="B1264" s="923"/>
      <c r="C1264" s="923"/>
      <c r="D1264" s="923"/>
      <c r="E1264" s="923"/>
    </row>
    <row r="1265" spans="1:5" x14ac:dyDescent="0.25">
      <c r="A1265" s="922"/>
      <c r="B1265" s="923"/>
      <c r="C1265" s="923"/>
      <c r="D1265" s="923"/>
      <c r="E1265" s="923"/>
    </row>
    <row r="1266" spans="1:5" x14ac:dyDescent="0.25">
      <c r="A1266" s="922"/>
      <c r="B1266" s="923"/>
      <c r="C1266" s="923"/>
      <c r="D1266" s="923"/>
      <c r="E1266" s="923"/>
    </row>
    <row r="1267" spans="1:5" x14ac:dyDescent="0.25">
      <c r="A1267" s="922"/>
      <c r="B1267" s="923"/>
      <c r="C1267" s="923"/>
      <c r="D1267" s="923"/>
      <c r="E1267" s="923"/>
    </row>
    <row r="1268" spans="1:5" x14ac:dyDescent="0.25">
      <c r="A1268" s="922"/>
      <c r="B1268" s="923"/>
      <c r="C1268" s="923"/>
      <c r="D1268" s="923"/>
      <c r="E1268" s="923"/>
    </row>
    <row r="1269" spans="1:5" x14ac:dyDescent="0.25">
      <c r="A1269" s="922"/>
      <c r="B1269" s="923"/>
      <c r="C1269" s="923"/>
      <c r="D1269" s="923"/>
      <c r="E1269" s="923"/>
    </row>
    <row r="1270" spans="1:5" x14ac:dyDescent="0.25">
      <c r="A1270" s="922"/>
      <c r="B1270" s="923"/>
      <c r="C1270" s="923"/>
      <c r="D1270" s="923"/>
      <c r="E1270" s="923"/>
    </row>
    <row r="1271" spans="1:5" x14ac:dyDescent="0.25">
      <c r="A1271" s="922"/>
      <c r="B1271" s="923"/>
      <c r="C1271" s="923"/>
      <c r="D1271" s="923"/>
      <c r="E1271" s="923"/>
    </row>
    <row r="1272" spans="1:5" x14ac:dyDescent="0.25">
      <c r="A1272" s="922"/>
      <c r="B1272" s="923"/>
      <c r="C1272" s="923"/>
      <c r="D1272" s="923"/>
      <c r="E1272" s="923"/>
    </row>
    <row r="1273" spans="1:5" x14ac:dyDescent="0.25">
      <c r="A1273" s="922"/>
      <c r="B1273" s="923"/>
      <c r="C1273" s="923"/>
      <c r="D1273" s="923"/>
      <c r="E1273" s="923"/>
    </row>
    <row r="1274" spans="1:5" x14ac:dyDescent="0.25">
      <c r="A1274" s="922"/>
      <c r="B1274" s="923"/>
      <c r="C1274" s="923"/>
      <c r="D1274" s="923"/>
      <c r="E1274" s="923"/>
    </row>
    <row r="1275" spans="1:5" x14ac:dyDescent="0.25">
      <c r="A1275" s="922"/>
      <c r="B1275" s="923"/>
      <c r="C1275" s="923"/>
      <c r="D1275" s="923"/>
      <c r="E1275" s="923"/>
    </row>
    <row r="1276" spans="1:5" x14ac:dyDescent="0.25">
      <c r="A1276" s="922"/>
      <c r="B1276" s="923"/>
      <c r="C1276" s="923"/>
      <c r="D1276" s="923"/>
      <c r="E1276" s="923"/>
    </row>
    <row r="1277" spans="1:5" x14ac:dyDescent="0.25">
      <c r="A1277" s="922"/>
      <c r="B1277" s="923"/>
      <c r="C1277" s="923"/>
      <c r="D1277" s="923"/>
      <c r="E1277" s="923"/>
    </row>
    <row r="1278" spans="1:5" x14ac:dyDescent="0.25">
      <c r="A1278" s="922"/>
      <c r="B1278" s="923"/>
      <c r="C1278" s="923"/>
      <c r="D1278" s="923"/>
      <c r="E1278" s="923"/>
    </row>
    <row r="1279" spans="1:5" x14ac:dyDescent="0.25">
      <c r="A1279" s="922"/>
      <c r="B1279" s="923"/>
      <c r="C1279" s="923"/>
      <c r="D1279" s="923"/>
      <c r="E1279" s="923"/>
    </row>
    <row r="1280" spans="1:5" x14ac:dyDescent="0.25">
      <c r="A1280" s="922"/>
      <c r="B1280" s="923"/>
      <c r="C1280" s="923"/>
      <c r="D1280" s="923"/>
      <c r="E1280" s="923"/>
    </row>
    <row r="1281" spans="1:5" x14ac:dyDescent="0.25">
      <c r="A1281" s="922"/>
      <c r="B1281" s="923"/>
      <c r="C1281" s="923"/>
      <c r="D1281" s="923"/>
      <c r="E1281" s="923"/>
    </row>
    <row r="1282" spans="1:5" x14ac:dyDescent="0.25">
      <c r="A1282" s="922"/>
      <c r="B1282" s="923"/>
      <c r="C1282" s="923"/>
      <c r="D1282" s="923"/>
      <c r="E1282" s="923"/>
    </row>
    <row r="1283" spans="1:5" x14ac:dyDescent="0.25">
      <c r="A1283" s="922"/>
      <c r="B1283" s="923"/>
      <c r="C1283" s="923"/>
      <c r="D1283" s="923"/>
      <c r="E1283" s="923"/>
    </row>
    <row r="1284" spans="1:5" x14ac:dyDescent="0.25">
      <c r="A1284" s="922"/>
      <c r="B1284" s="923"/>
      <c r="C1284" s="923"/>
      <c r="D1284" s="923"/>
      <c r="E1284" s="923"/>
    </row>
    <row r="1285" spans="1:5" x14ac:dyDescent="0.25">
      <c r="A1285" s="922"/>
      <c r="B1285" s="923"/>
      <c r="C1285" s="923"/>
      <c r="D1285" s="923"/>
      <c r="E1285" s="923"/>
    </row>
    <row r="1286" spans="1:5" x14ac:dyDescent="0.25">
      <c r="A1286" s="922"/>
      <c r="B1286" s="923"/>
      <c r="C1286" s="923"/>
      <c r="D1286" s="923"/>
      <c r="E1286" s="923"/>
    </row>
    <row r="1287" spans="1:5" x14ac:dyDescent="0.25">
      <c r="A1287" s="922"/>
      <c r="B1287" s="923"/>
      <c r="C1287" s="923"/>
      <c r="D1287" s="923"/>
      <c r="E1287" s="923"/>
    </row>
    <row r="1288" spans="1:5" x14ac:dyDescent="0.25">
      <c r="A1288" s="922"/>
      <c r="B1288" s="923"/>
      <c r="C1288" s="923"/>
      <c r="D1288" s="923"/>
      <c r="E1288" s="923"/>
    </row>
    <row r="1289" spans="1:5" x14ac:dyDescent="0.25">
      <c r="A1289" s="922"/>
      <c r="B1289" s="923"/>
      <c r="C1289" s="923"/>
      <c r="D1289" s="923"/>
      <c r="E1289" s="923"/>
    </row>
    <row r="1290" spans="1:5" x14ac:dyDescent="0.25">
      <c r="A1290" s="922"/>
      <c r="B1290" s="923"/>
      <c r="C1290" s="923"/>
      <c r="D1290" s="923"/>
      <c r="E1290" s="923"/>
    </row>
    <row r="1291" spans="1:5" x14ac:dyDescent="0.25">
      <c r="A1291" s="922"/>
      <c r="B1291" s="923"/>
      <c r="C1291" s="923"/>
      <c r="D1291" s="923"/>
      <c r="E1291" s="923"/>
    </row>
    <row r="1292" spans="1:5" x14ac:dyDescent="0.25">
      <c r="A1292" s="922"/>
      <c r="B1292" s="923"/>
      <c r="C1292" s="923"/>
      <c r="D1292" s="923"/>
      <c r="E1292" s="923"/>
    </row>
    <row r="1293" spans="1:5" x14ac:dyDescent="0.25">
      <c r="A1293" s="922"/>
      <c r="B1293" s="923"/>
      <c r="C1293" s="923"/>
      <c r="D1293" s="923"/>
      <c r="E1293" s="923"/>
    </row>
    <row r="1294" spans="1:5" x14ac:dyDescent="0.25">
      <c r="A1294" s="922"/>
      <c r="B1294" s="923"/>
      <c r="C1294" s="923"/>
      <c r="D1294" s="923"/>
      <c r="E1294" s="923"/>
    </row>
    <row r="1295" spans="1:5" x14ac:dyDescent="0.25">
      <c r="A1295" s="922"/>
      <c r="B1295" s="923"/>
      <c r="C1295" s="923"/>
      <c r="D1295" s="923"/>
      <c r="E1295" s="923"/>
    </row>
    <row r="1296" spans="1:5" x14ac:dyDescent="0.25">
      <c r="A1296" s="922"/>
      <c r="B1296" s="923"/>
      <c r="C1296" s="923"/>
      <c r="D1296" s="923"/>
      <c r="E1296" s="923"/>
    </row>
    <row r="1297" spans="1:5" x14ac:dyDescent="0.25">
      <c r="A1297" s="922"/>
      <c r="B1297" s="923"/>
      <c r="C1297" s="923"/>
      <c r="D1297" s="923"/>
      <c r="E1297" s="923"/>
    </row>
    <row r="1298" spans="1:5" x14ac:dyDescent="0.25">
      <c r="A1298" s="922"/>
      <c r="B1298" s="923"/>
      <c r="C1298" s="923"/>
      <c r="D1298" s="923"/>
      <c r="E1298" s="923"/>
    </row>
    <row r="1299" spans="1:5" x14ac:dyDescent="0.25">
      <c r="A1299" s="922"/>
      <c r="B1299" s="923"/>
      <c r="C1299" s="923"/>
      <c r="D1299" s="923"/>
      <c r="E1299" s="923"/>
    </row>
    <row r="1300" spans="1:5" x14ac:dyDescent="0.25">
      <c r="A1300" s="922"/>
      <c r="B1300" s="923"/>
      <c r="C1300" s="923"/>
      <c r="D1300" s="923"/>
      <c r="E1300" s="923"/>
    </row>
    <row r="1301" spans="1:5" x14ac:dyDescent="0.25">
      <c r="A1301" s="922"/>
      <c r="B1301" s="923"/>
      <c r="C1301" s="923"/>
      <c r="D1301" s="923"/>
      <c r="E1301" s="923"/>
    </row>
    <row r="1302" spans="1:5" x14ac:dyDescent="0.25">
      <c r="A1302" s="922"/>
      <c r="B1302" s="923"/>
      <c r="C1302" s="923"/>
      <c r="D1302" s="923"/>
      <c r="E1302" s="923"/>
    </row>
    <row r="1303" spans="1:5" x14ac:dyDescent="0.25">
      <c r="A1303" s="922"/>
      <c r="B1303" s="923"/>
      <c r="C1303" s="923"/>
      <c r="D1303" s="923"/>
      <c r="E1303" s="923"/>
    </row>
    <row r="1304" spans="1:5" x14ac:dyDescent="0.25">
      <c r="A1304" s="922"/>
      <c r="B1304" s="923"/>
      <c r="C1304" s="923"/>
      <c r="D1304" s="923"/>
      <c r="E1304" s="923"/>
    </row>
    <row r="1305" spans="1:5" x14ac:dyDescent="0.25">
      <c r="A1305" s="922"/>
      <c r="B1305" s="923"/>
      <c r="C1305" s="923"/>
      <c r="D1305" s="923"/>
      <c r="E1305" s="923"/>
    </row>
    <row r="1306" spans="1:5" x14ac:dyDescent="0.25">
      <c r="A1306" s="922"/>
      <c r="B1306" s="923"/>
      <c r="C1306" s="923"/>
      <c r="D1306" s="923"/>
      <c r="E1306" s="923"/>
    </row>
    <row r="1307" spans="1:5" x14ac:dyDescent="0.25">
      <c r="A1307" s="922"/>
      <c r="B1307" s="923"/>
      <c r="C1307" s="923"/>
      <c r="D1307" s="923"/>
      <c r="E1307" s="923"/>
    </row>
    <row r="1308" spans="1:5" x14ac:dyDescent="0.25">
      <c r="A1308" s="922"/>
      <c r="B1308" s="923"/>
      <c r="C1308" s="923"/>
      <c r="D1308" s="923"/>
      <c r="E1308" s="923"/>
    </row>
    <row r="1309" spans="1:5" x14ac:dyDescent="0.25">
      <c r="A1309" s="922"/>
      <c r="B1309" s="923"/>
      <c r="C1309" s="923"/>
      <c r="D1309" s="923"/>
      <c r="E1309" s="923"/>
    </row>
    <row r="1310" spans="1:5" x14ac:dyDescent="0.25">
      <c r="A1310" s="922"/>
      <c r="B1310" s="923"/>
      <c r="C1310" s="923"/>
      <c r="D1310" s="923"/>
      <c r="E1310" s="923"/>
    </row>
    <row r="1311" spans="1:5" x14ac:dyDescent="0.25">
      <c r="A1311" s="922"/>
      <c r="B1311" s="923"/>
      <c r="C1311" s="923"/>
      <c r="D1311" s="923"/>
      <c r="E1311" s="923"/>
    </row>
    <row r="1312" spans="1:5" x14ac:dyDescent="0.25">
      <c r="A1312" s="922"/>
      <c r="B1312" s="923"/>
      <c r="C1312" s="923"/>
      <c r="D1312" s="923"/>
      <c r="E1312" s="923"/>
    </row>
    <row r="1313" spans="1:5" x14ac:dyDescent="0.25">
      <c r="A1313" s="922"/>
      <c r="B1313" s="923"/>
      <c r="C1313" s="923"/>
      <c r="D1313" s="923"/>
      <c r="E1313" s="923"/>
    </row>
    <row r="1314" spans="1:5" x14ac:dyDescent="0.25">
      <c r="A1314" s="922"/>
      <c r="B1314" s="923"/>
      <c r="C1314" s="923"/>
      <c r="D1314" s="923"/>
      <c r="E1314" s="923"/>
    </row>
    <row r="1315" spans="1:5" x14ac:dyDescent="0.25">
      <c r="A1315" s="922"/>
      <c r="B1315" s="923"/>
      <c r="C1315" s="923"/>
      <c r="D1315" s="923"/>
      <c r="E1315" s="923"/>
    </row>
    <row r="1316" spans="1:5" x14ac:dyDescent="0.25">
      <c r="A1316" s="922"/>
      <c r="B1316" s="923"/>
      <c r="C1316" s="923"/>
      <c r="D1316" s="923"/>
      <c r="E1316" s="923"/>
    </row>
    <row r="1317" spans="1:5" x14ac:dyDescent="0.25">
      <c r="A1317" s="922"/>
      <c r="B1317" s="923"/>
      <c r="C1317" s="923"/>
      <c r="D1317" s="923"/>
      <c r="E1317" s="923"/>
    </row>
    <row r="1318" spans="1:5" x14ac:dyDescent="0.25">
      <c r="A1318" s="922"/>
      <c r="B1318" s="923"/>
      <c r="C1318" s="923"/>
      <c r="D1318" s="923"/>
      <c r="E1318" s="923"/>
    </row>
    <row r="1319" spans="1:5" x14ac:dyDescent="0.25">
      <c r="A1319" s="922"/>
      <c r="B1319" s="923"/>
      <c r="C1319" s="923"/>
      <c r="D1319" s="923"/>
      <c r="E1319" s="923"/>
    </row>
    <row r="1320" spans="1:5" x14ac:dyDescent="0.25">
      <c r="A1320" s="922"/>
      <c r="B1320" s="923"/>
      <c r="C1320" s="923"/>
      <c r="D1320" s="923"/>
      <c r="E1320" s="923"/>
    </row>
    <row r="1321" spans="1:5" x14ac:dyDescent="0.25">
      <c r="A1321" s="922"/>
      <c r="B1321" s="923"/>
      <c r="C1321" s="923"/>
      <c r="D1321" s="923"/>
      <c r="E1321" s="923"/>
    </row>
    <row r="1322" spans="1:5" x14ac:dyDescent="0.25">
      <c r="A1322" s="922"/>
      <c r="B1322" s="923"/>
      <c r="C1322" s="923"/>
      <c r="D1322" s="923"/>
      <c r="E1322" s="923"/>
    </row>
    <row r="1323" spans="1:5" x14ac:dyDescent="0.25">
      <c r="A1323" s="922"/>
      <c r="B1323" s="923"/>
      <c r="C1323" s="923"/>
      <c r="D1323" s="923"/>
      <c r="E1323" s="923"/>
    </row>
    <row r="1324" spans="1:5" x14ac:dyDescent="0.25">
      <c r="A1324" s="922"/>
      <c r="B1324" s="923"/>
      <c r="C1324" s="923"/>
      <c r="D1324" s="923"/>
      <c r="E1324" s="923"/>
    </row>
    <row r="1325" spans="1:5" x14ac:dyDescent="0.25">
      <c r="A1325" s="922"/>
      <c r="B1325" s="923"/>
      <c r="C1325" s="923"/>
      <c r="D1325" s="923"/>
      <c r="E1325" s="923"/>
    </row>
    <row r="1326" spans="1:5" x14ac:dyDescent="0.25">
      <c r="A1326" s="922"/>
      <c r="B1326" s="923"/>
      <c r="C1326" s="923"/>
      <c r="D1326" s="923"/>
      <c r="E1326" s="923"/>
    </row>
    <row r="1327" spans="1:5" x14ac:dyDescent="0.25">
      <c r="A1327" s="922"/>
      <c r="B1327" s="923"/>
      <c r="C1327" s="923"/>
      <c r="D1327" s="923"/>
      <c r="E1327" s="923"/>
    </row>
    <row r="1328" spans="1:5" x14ac:dyDescent="0.25">
      <c r="A1328" s="922"/>
      <c r="B1328" s="923"/>
      <c r="C1328" s="923"/>
      <c r="D1328" s="923"/>
      <c r="E1328" s="923"/>
    </row>
    <row r="1329" spans="1:5" x14ac:dyDescent="0.25">
      <c r="A1329" s="922"/>
      <c r="B1329" s="923"/>
      <c r="C1329" s="923"/>
      <c r="D1329" s="923"/>
      <c r="E1329" s="923"/>
    </row>
    <row r="1330" spans="1:5" x14ac:dyDescent="0.25">
      <c r="A1330" s="922"/>
      <c r="B1330" s="923"/>
      <c r="C1330" s="923"/>
      <c r="D1330" s="923"/>
      <c r="E1330" s="923"/>
    </row>
    <row r="1331" spans="1:5" x14ac:dyDescent="0.25">
      <c r="A1331" s="922"/>
      <c r="B1331" s="923"/>
      <c r="C1331" s="923"/>
      <c r="D1331" s="923"/>
      <c r="E1331" s="923"/>
    </row>
    <row r="1332" spans="1:5" x14ac:dyDescent="0.25">
      <c r="A1332" s="922"/>
      <c r="B1332" s="923"/>
      <c r="C1332" s="923"/>
      <c r="D1332" s="923"/>
      <c r="E1332" s="923"/>
    </row>
    <row r="1333" spans="1:5" x14ac:dyDescent="0.25">
      <c r="A1333" s="922"/>
      <c r="B1333" s="923"/>
      <c r="C1333" s="923"/>
      <c r="D1333" s="923"/>
      <c r="E1333" s="923"/>
    </row>
    <row r="1334" spans="1:5" x14ac:dyDescent="0.25">
      <c r="A1334" s="922"/>
      <c r="B1334" s="923"/>
      <c r="C1334" s="923"/>
      <c r="D1334" s="923"/>
      <c r="E1334" s="923"/>
    </row>
    <row r="1335" spans="1:5" x14ac:dyDescent="0.25">
      <c r="A1335" s="922"/>
      <c r="B1335" s="923"/>
      <c r="C1335" s="923"/>
      <c r="D1335" s="923"/>
      <c r="E1335" s="923"/>
    </row>
    <row r="1336" spans="1:5" x14ac:dyDescent="0.25">
      <c r="A1336" s="922"/>
      <c r="B1336" s="923"/>
      <c r="C1336" s="923"/>
      <c r="D1336" s="923"/>
      <c r="E1336" s="923"/>
    </row>
    <row r="1337" spans="1:5" x14ac:dyDescent="0.25">
      <c r="A1337" s="922"/>
      <c r="B1337" s="923"/>
      <c r="C1337" s="923"/>
      <c r="D1337" s="923"/>
      <c r="E1337" s="923"/>
    </row>
    <row r="1338" spans="1:5" x14ac:dyDescent="0.25">
      <c r="A1338" s="922"/>
      <c r="B1338" s="923"/>
      <c r="C1338" s="923"/>
      <c r="D1338" s="923"/>
      <c r="E1338" s="923"/>
    </row>
    <row r="1339" spans="1:5" x14ac:dyDescent="0.25">
      <c r="A1339" s="922"/>
      <c r="B1339" s="923"/>
      <c r="C1339" s="923"/>
      <c r="D1339" s="923"/>
      <c r="E1339" s="923"/>
    </row>
    <row r="1340" spans="1:5" x14ac:dyDescent="0.25">
      <c r="A1340" s="922"/>
      <c r="B1340" s="923"/>
      <c r="C1340" s="923"/>
      <c r="D1340" s="923"/>
      <c r="E1340" s="923"/>
    </row>
    <row r="1341" spans="1:5" x14ac:dyDescent="0.25">
      <c r="A1341" s="922"/>
      <c r="B1341" s="923"/>
      <c r="C1341" s="923"/>
      <c r="D1341" s="923"/>
      <c r="E1341" s="923"/>
    </row>
    <row r="1342" spans="1:5" x14ac:dyDescent="0.25">
      <c r="A1342" s="922"/>
      <c r="B1342" s="923"/>
      <c r="C1342" s="923"/>
      <c r="D1342" s="923"/>
      <c r="E1342" s="923"/>
    </row>
    <row r="1343" spans="1:5" x14ac:dyDescent="0.25">
      <c r="A1343" s="922"/>
      <c r="B1343" s="923"/>
      <c r="C1343" s="923"/>
      <c r="D1343" s="923"/>
      <c r="E1343" s="923"/>
    </row>
    <row r="1344" spans="1:5" x14ac:dyDescent="0.25">
      <c r="A1344" s="922"/>
      <c r="B1344" s="923"/>
      <c r="C1344" s="923"/>
      <c r="D1344" s="923"/>
      <c r="E1344" s="923"/>
    </row>
    <row r="1345" spans="1:5" x14ac:dyDescent="0.25">
      <c r="A1345" s="922"/>
      <c r="B1345" s="923"/>
      <c r="C1345" s="923"/>
      <c r="D1345" s="923"/>
      <c r="E1345" s="923"/>
    </row>
    <row r="1346" spans="1:5" x14ac:dyDescent="0.25">
      <c r="A1346" s="922"/>
      <c r="B1346" s="923"/>
      <c r="C1346" s="923"/>
      <c r="D1346" s="923"/>
      <c r="E1346" s="923"/>
    </row>
    <row r="1347" spans="1:5" x14ac:dyDescent="0.25">
      <c r="A1347" s="922"/>
      <c r="B1347" s="923"/>
      <c r="C1347" s="923"/>
      <c r="D1347" s="923"/>
      <c r="E1347" s="923"/>
    </row>
    <row r="1348" spans="1:5" x14ac:dyDescent="0.25">
      <c r="A1348" s="922"/>
      <c r="B1348" s="923"/>
      <c r="C1348" s="923"/>
      <c r="D1348" s="923"/>
      <c r="E1348" s="923"/>
    </row>
    <row r="1349" spans="1:5" x14ac:dyDescent="0.25">
      <c r="A1349" s="922"/>
      <c r="B1349" s="923"/>
      <c r="C1349" s="923"/>
      <c r="D1349" s="923"/>
      <c r="E1349" s="923"/>
    </row>
    <row r="1350" spans="1:5" x14ac:dyDescent="0.25">
      <c r="A1350" s="922"/>
      <c r="B1350" s="923"/>
      <c r="C1350" s="923"/>
      <c r="D1350" s="923"/>
      <c r="E1350" s="923"/>
    </row>
    <row r="1351" spans="1:5" x14ac:dyDescent="0.25">
      <c r="A1351" s="922"/>
      <c r="B1351" s="923"/>
      <c r="C1351" s="923"/>
      <c r="D1351" s="923"/>
      <c r="E1351" s="923"/>
    </row>
    <row r="1352" spans="1:5" x14ac:dyDescent="0.25">
      <c r="A1352" s="922"/>
      <c r="B1352" s="923"/>
      <c r="C1352" s="923"/>
      <c r="D1352" s="923"/>
      <c r="E1352" s="923"/>
    </row>
    <row r="1353" spans="1:5" x14ac:dyDescent="0.25">
      <c r="A1353" s="922"/>
      <c r="B1353" s="923"/>
      <c r="C1353" s="923"/>
      <c r="D1353" s="923"/>
      <c r="E1353" s="923"/>
    </row>
    <row r="1354" spans="1:5" x14ac:dyDescent="0.25">
      <c r="A1354" s="922"/>
      <c r="B1354" s="923"/>
      <c r="C1354" s="923"/>
      <c r="D1354" s="923"/>
      <c r="E1354" s="923"/>
    </row>
    <row r="1355" spans="1:5" x14ac:dyDescent="0.25">
      <c r="A1355" s="922"/>
      <c r="B1355" s="923"/>
      <c r="C1355" s="923"/>
      <c r="D1355" s="923"/>
      <c r="E1355" s="923"/>
    </row>
    <row r="1356" spans="1:5" x14ac:dyDescent="0.25">
      <c r="A1356" s="922"/>
      <c r="B1356" s="923"/>
      <c r="C1356" s="923"/>
      <c r="D1356" s="923"/>
      <c r="E1356" s="923"/>
    </row>
    <row r="1357" spans="1:5" x14ac:dyDescent="0.25">
      <c r="A1357" s="922"/>
      <c r="B1357" s="923"/>
      <c r="C1357" s="923"/>
      <c r="D1357" s="923"/>
      <c r="E1357" s="923"/>
    </row>
    <row r="1358" spans="1:5" x14ac:dyDescent="0.25">
      <c r="A1358" s="922"/>
      <c r="B1358" s="923"/>
      <c r="C1358" s="923"/>
      <c r="D1358" s="923"/>
      <c r="E1358" s="923"/>
    </row>
    <row r="1359" spans="1:5" x14ac:dyDescent="0.25">
      <c r="A1359" s="922"/>
      <c r="B1359" s="923"/>
      <c r="C1359" s="923"/>
      <c r="D1359" s="923"/>
      <c r="E1359" s="923"/>
    </row>
    <row r="1360" spans="1:5" x14ac:dyDescent="0.25">
      <c r="A1360" s="922"/>
      <c r="B1360" s="923"/>
      <c r="C1360" s="923"/>
      <c r="D1360" s="923"/>
      <c r="E1360" s="923"/>
    </row>
    <row r="1361" spans="1:5" x14ac:dyDescent="0.25">
      <c r="A1361" s="922"/>
      <c r="B1361" s="923"/>
      <c r="C1361" s="923"/>
      <c r="D1361" s="923"/>
      <c r="E1361" s="923"/>
    </row>
    <row r="1362" spans="1:5" x14ac:dyDescent="0.25">
      <c r="A1362" s="922"/>
      <c r="B1362" s="923"/>
      <c r="C1362" s="923"/>
      <c r="D1362" s="923"/>
      <c r="E1362" s="923"/>
    </row>
    <row r="1363" spans="1:5" x14ac:dyDescent="0.25">
      <c r="A1363" s="922"/>
      <c r="B1363" s="923"/>
      <c r="C1363" s="923"/>
      <c r="D1363" s="923"/>
      <c r="E1363" s="923"/>
    </row>
    <row r="1364" spans="1:5" x14ac:dyDescent="0.25">
      <c r="A1364" s="922"/>
      <c r="B1364" s="923"/>
      <c r="C1364" s="923"/>
      <c r="D1364" s="923"/>
      <c r="E1364" s="923"/>
    </row>
    <row r="1365" spans="1:5" x14ac:dyDescent="0.25">
      <c r="A1365" s="922"/>
      <c r="B1365" s="923"/>
      <c r="C1365" s="923"/>
      <c r="D1365" s="923"/>
      <c r="E1365" s="923"/>
    </row>
    <row r="1366" spans="1:5" x14ac:dyDescent="0.25">
      <c r="A1366" s="922"/>
      <c r="B1366" s="923"/>
      <c r="C1366" s="923"/>
      <c r="D1366" s="923"/>
      <c r="E1366" s="923"/>
    </row>
    <row r="1367" spans="1:5" x14ac:dyDescent="0.25">
      <c r="A1367" s="922"/>
      <c r="B1367" s="923"/>
      <c r="C1367" s="923"/>
      <c r="D1367" s="923"/>
      <c r="E1367" s="923"/>
    </row>
    <row r="1368" spans="1:5" x14ac:dyDescent="0.25">
      <c r="A1368" s="922"/>
      <c r="B1368" s="923"/>
      <c r="C1368" s="923"/>
      <c r="D1368" s="923"/>
      <c r="E1368" s="923"/>
    </row>
    <row r="1369" spans="1:5" x14ac:dyDescent="0.25">
      <c r="A1369" s="922"/>
      <c r="B1369" s="923"/>
      <c r="C1369" s="923"/>
      <c r="D1369" s="923"/>
      <c r="E1369" s="923"/>
    </row>
    <row r="1370" spans="1:5" x14ac:dyDescent="0.25">
      <c r="A1370" s="922"/>
      <c r="B1370" s="923"/>
      <c r="C1370" s="923"/>
      <c r="D1370" s="923"/>
      <c r="E1370" s="923"/>
    </row>
    <row r="1371" spans="1:5" x14ac:dyDescent="0.25">
      <c r="A1371" s="922"/>
      <c r="B1371" s="923"/>
      <c r="C1371" s="923"/>
      <c r="D1371" s="923"/>
      <c r="E1371" s="923"/>
    </row>
    <row r="1372" spans="1:5" x14ac:dyDescent="0.25">
      <c r="A1372" s="922"/>
      <c r="B1372" s="923"/>
      <c r="C1372" s="923"/>
      <c r="D1372" s="923"/>
      <c r="E1372" s="923"/>
    </row>
    <row r="1373" spans="1:5" x14ac:dyDescent="0.25">
      <c r="A1373" s="922"/>
      <c r="B1373" s="923"/>
      <c r="C1373" s="923"/>
      <c r="D1373" s="923"/>
      <c r="E1373" s="923"/>
    </row>
    <row r="1374" spans="1:5" x14ac:dyDescent="0.25">
      <c r="A1374" s="922"/>
      <c r="B1374" s="923"/>
      <c r="C1374" s="923"/>
      <c r="D1374" s="923"/>
      <c r="E1374" s="923"/>
    </row>
    <row r="1375" spans="1:5" x14ac:dyDescent="0.25">
      <c r="A1375" s="922"/>
      <c r="B1375" s="923"/>
      <c r="C1375" s="923"/>
      <c r="D1375" s="923"/>
      <c r="E1375" s="923"/>
    </row>
    <row r="1376" spans="1:5" x14ac:dyDescent="0.25">
      <c r="A1376" s="922"/>
      <c r="B1376" s="923"/>
      <c r="C1376" s="923"/>
      <c r="D1376" s="923"/>
      <c r="E1376" s="923"/>
    </row>
    <row r="1377" spans="1:5" x14ac:dyDescent="0.25">
      <c r="A1377" s="922"/>
      <c r="B1377" s="923"/>
      <c r="C1377" s="923"/>
      <c r="D1377" s="923"/>
      <c r="E1377" s="923"/>
    </row>
    <row r="1378" spans="1:5" x14ac:dyDescent="0.25">
      <c r="A1378" s="922"/>
      <c r="B1378" s="923"/>
      <c r="C1378" s="923"/>
      <c r="D1378" s="923"/>
      <c r="E1378" s="923"/>
    </row>
    <row r="1379" spans="1:5" x14ac:dyDescent="0.25">
      <c r="A1379" s="922"/>
      <c r="B1379" s="923"/>
      <c r="C1379" s="923"/>
      <c r="D1379" s="923"/>
      <c r="E1379" s="923"/>
    </row>
    <row r="1380" spans="1:5" x14ac:dyDescent="0.25">
      <c r="A1380" s="922"/>
      <c r="B1380" s="923"/>
      <c r="C1380" s="923"/>
      <c r="D1380" s="923"/>
      <c r="E1380" s="923"/>
    </row>
    <row r="1381" spans="1:5" x14ac:dyDescent="0.25">
      <c r="A1381" s="922"/>
      <c r="B1381" s="923"/>
      <c r="C1381" s="923"/>
      <c r="D1381" s="923"/>
      <c r="E1381" s="923"/>
    </row>
    <row r="1382" spans="1:5" x14ac:dyDescent="0.25">
      <c r="A1382" s="922"/>
      <c r="B1382" s="923"/>
      <c r="C1382" s="923"/>
      <c r="D1382" s="923"/>
      <c r="E1382" s="923"/>
    </row>
    <row r="1383" spans="1:5" x14ac:dyDescent="0.25">
      <c r="A1383" s="922"/>
      <c r="B1383" s="923"/>
      <c r="C1383" s="923"/>
      <c r="D1383" s="923"/>
      <c r="E1383" s="923"/>
    </row>
    <row r="1384" spans="1:5" x14ac:dyDescent="0.25">
      <c r="A1384" s="922"/>
      <c r="B1384" s="923"/>
      <c r="C1384" s="923"/>
      <c r="D1384" s="923"/>
      <c r="E1384" s="923"/>
    </row>
    <row r="1385" spans="1:5" x14ac:dyDescent="0.25">
      <c r="A1385" s="922"/>
      <c r="B1385" s="923"/>
      <c r="C1385" s="923"/>
      <c r="D1385" s="923"/>
      <c r="E1385" s="923"/>
    </row>
    <row r="1386" spans="1:5" x14ac:dyDescent="0.25">
      <c r="A1386" s="922"/>
      <c r="B1386" s="923"/>
      <c r="C1386" s="923"/>
      <c r="D1386" s="923"/>
      <c r="E1386" s="923"/>
    </row>
    <row r="1387" spans="1:5" x14ac:dyDescent="0.25">
      <c r="A1387" s="922"/>
      <c r="B1387" s="923"/>
      <c r="C1387" s="923"/>
      <c r="D1387" s="923"/>
      <c r="E1387" s="923"/>
    </row>
    <row r="1388" spans="1:5" x14ac:dyDescent="0.25">
      <c r="A1388" s="922"/>
      <c r="B1388" s="923"/>
      <c r="C1388" s="923"/>
      <c r="D1388" s="923"/>
      <c r="E1388" s="923"/>
    </row>
    <row r="1389" spans="1:5" x14ac:dyDescent="0.25">
      <c r="A1389" s="922"/>
      <c r="B1389" s="923"/>
      <c r="C1389" s="923"/>
      <c r="D1389" s="923"/>
      <c r="E1389" s="923"/>
    </row>
    <row r="1390" spans="1:5" x14ac:dyDescent="0.25">
      <c r="A1390" s="922"/>
      <c r="B1390" s="923"/>
      <c r="C1390" s="923"/>
      <c r="D1390" s="923"/>
      <c r="E1390" s="923"/>
    </row>
    <row r="1391" spans="1:5" x14ac:dyDescent="0.25">
      <c r="A1391" s="922"/>
      <c r="B1391" s="923"/>
      <c r="C1391" s="923"/>
      <c r="D1391" s="923"/>
      <c r="E1391" s="923"/>
    </row>
    <row r="1392" spans="1:5" x14ac:dyDescent="0.25">
      <c r="A1392" s="922"/>
      <c r="B1392" s="923"/>
      <c r="C1392" s="923"/>
      <c r="D1392" s="923"/>
      <c r="E1392" s="923"/>
    </row>
    <row r="1393" spans="1:5" x14ac:dyDescent="0.25">
      <c r="A1393" s="922"/>
      <c r="B1393" s="923"/>
      <c r="C1393" s="923"/>
      <c r="D1393" s="923"/>
      <c r="E1393" s="923"/>
    </row>
    <row r="1394" spans="1:5" x14ac:dyDescent="0.25">
      <c r="A1394" s="922"/>
      <c r="B1394" s="923"/>
      <c r="C1394" s="923"/>
      <c r="D1394" s="923"/>
      <c r="E1394" s="923"/>
    </row>
    <row r="1395" spans="1:5" x14ac:dyDescent="0.25">
      <c r="A1395" s="922"/>
      <c r="B1395" s="923"/>
      <c r="C1395" s="923"/>
      <c r="D1395" s="923"/>
      <c r="E1395" s="923"/>
    </row>
    <row r="1396" spans="1:5" x14ac:dyDescent="0.25">
      <c r="A1396" s="922"/>
      <c r="B1396" s="923"/>
      <c r="C1396" s="923"/>
      <c r="D1396" s="923"/>
      <c r="E1396" s="923"/>
    </row>
    <row r="1397" spans="1:5" x14ac:dyDescent="0.25">
      <c r="A1397" s="922"/>
      <c r="B1397" s="923"/>
      <c r="C1397" s="923"/>
      <c r="D1397" s="923"/>
      <c r="E1397" s="923"/>
    </row>
    <row r="1398" spans="1:5" x14ac:dyDescent="0.25">
      <c r="A1398" s="922"/>
      <c r="B1398" s="923"/>
      <c r="C1398" s="923"/>
      <c r="D1398" s="923"/>
      <c r="E1398" s="923"/>
    </row>
    <row r="1399" spans="1:5" x14ac:dyDescent="0.25">
      <c r="A1399" s="922"/>
      <c r="B1399" s="923"/>
      <c r="C1399" s="923"/>
      <c r="D1399" s="923"/>
      <c r="E1399" s="923"/>
    </row>
    <row r="1400" spans="1:5" x14ac:dyDescent="0.25">
      <c r="A1400" s="922"/>
      <c r="B1400" s="923"/>
      <c r="C1400" s="923"/>
      <c r="D1400" s="923"/>
      <c r="E1400" s="923"/>
    </row>
    <row r="1401" spans="1:5" x14ac:dyDescent="0.25">
      <c r="A1401" s="922"/>
      <c r="B1401" s="923"/>
      <c r="C1401" s="923"/>
      <c r="D1401" s="923"/>
      <c r="E1401" s="923"/>
    </row>
    <row r="1402" spans="1:5" x14ac:dyDescent="0.25">
      <c r="A1402" s="922"/>
      <c r="B1402" s="923"/>
      <c r="C1402" s="923"/>
      <c r="D1402" s="923"/>
      <c r="E1402" s="923"/>
    </row>
    <row r="1403" spans="1:5" x14ac:dyDescent="0.25">
      <c r="A1403" s="922"/>
      <c r="B1403" s="923"/>
      <c r="C1403" s="923"/>
      <c r="D1403" s="923"/>
      <c r="E1403" s="923"/>
    </row>
    <row r="1404" spans="1:5" x14ac:dyDescent="0.25">
      <c r="A1404" s="922"/>
      <c r="B1404" s="923"/>
      <c r="C1404" s="923"/>
      <c r="D1404" s="923"/>
      <c r="E1404" s="923"/>
    </row>
    <row r="1405" spans="1:5" x14ac:dyDescent="0.25">
      <c r="A1405" s="922"/>
      <c r="B1405" s="923"/>
      <c r="C1405" s="923"/>
      <c r="D1405" s="923"/>
      <c r="E1405" s="923"/>
    </row>
    <row r="1406" spans="1:5" x14ac:dyDescent="0.25">
      <c r="A1406" s="922"/>
      <c r="B1406" s="923"/>
      <c r="C1406" s="923"/>
      <c r="D1406" s="923"/>
      <c r="E1406" s="923"/>
    </row>
    <row r="1407" spans="1:5" x14ac:dyDescent="0.25">
      <c r="A1407" s="922"/>
      <c r="B1407" s="923"/>
      <c r="C1407" s="923"/>
      <c r="D1407" s="923"/>
      <c r="E1407" s="923"/>
    </row>
    <row r="1408" spans="1:5" x14ac:dyDescent="0.25">
      <c r="A1408" s="922"/>
      <c r="B1408" s="923"/>
      <c r="C1408" s="923"/>
      <c r="D1408" s="923"/>
      <c r="E1408" s="923"/>
    </row>
    <row r="1409" spans="1:5" x14ac:dyDescent="0.25">
      <c r="A1409" s="922"/>
      <c r="B1409" s="923"/>
      <c r="C1409" s="923"/>
      <c r="D1409" s="923"/>
      <c r="E1409" s="923"/>
    </row>
    <row r="1410" spans="1:5" x14ac:dyDescent="0.25">
      <c r="A1410" s="922"/>
      <c r="B1410" s="923"/>
      <c r="C1410" s="923"/>
      <c r="D1410" s="923"/>
      <c r="E1410" s="923"/>
    </row>
    <row r="1411" spans="1:5" x14ac:dyDescent="0.25">
      <c r="A1411" s="922"/>
      <c r="B1411" s="923"/>
      <c r="C1411" s="923"/>
      <c r="D1411" s="923"/>
      <c r="E1411" s="923"/>
    </row>
    <row r="1412" spans="1:5" x14ac:dyDescent="0.25">
      <c r="A1412" s="922"/>
      <c r="B1412" s="923"/>
      <c r="C1412" s="923"/>
      <c r="D1412" s="923"/>
      <c r="E1412" s="923"/>
    </row>
    <row r="1413" spans="1:5" x14ac:dyDescent="0.25">
      <c r="A1413" s="922"/>
      <c r="B1413" s="923"/>
      <c r="C1413" s="923"/>
      <c r="D1413" s="923"/>
      <c r="E1413" s="923"/>
    </row>
    <row r="1414" spans="1:5" x14ac:dyDescent="0.25">
      <c r="A1414" s="922"/>
      <c r="B1414" s="923"/>
      <c r="C1414" s="923"/>
      <c r="D1414" s="923"/>
      <c r="E1414" s="923"/>
    </row>
    <row r="1415" spans="1:5" x14ac:dyDescent="0.25">
      <c r="A1415" s="922"/>
      <c r="B1415" s="923"/>
      <c r="C1415" s="923"/>
      <c r="D1415" s="923"/>
      <c r="E1415" s="923"/>
    </row>
    <row r="1416" spans="1:5" x14ac:dyDescent="0.25">
      <c r="A1416" s="922"/>
      <c r="B1416" s="923"/>
      <c r="C1416" s="923"/>
      <c r="D1416" s="923"/>
      <c r="E1416" s="923"/>
    </row>
    <row r="1417" spans="1:5" x14ac:dyDescent="0.25">
      <c r="A1417" s="922"/>
      <c r="B1417" s="923"/>
      <c r="C1417" s="923"/>
      <c r="D1417" s="923"/>
      <c r="E1417" s="923"/>
    </row>
    <row r="1418" spans="1:5" x14ac:dyDescent="0.25">
      <c r="A1418" s="922"/>
      <c r="B1418" s="923"/>
      <c r="C1418" s="923"/>
      <c r="D1418" s="923"/>
      <c r="E1418" s="923"/>
    </row>
    <row r="1419" spans="1:5" x14ac:dyDescent="0.25">
      <c r="A1419" s="922"/>
      <c r="B1419" s="923"/>
      <c r="C1419" s="923"/>
      <c r="D1419" s="923"/>
      <c r="E1419" s="923"/>
    </row>
    <row r="1420" spans="1:5" x14ac:dyDescent="0.25">
      <c r="A1420" s="922"/>
      <c r="B1420" s="923"/>
      <c r="C1420" s="923"/>
      <c r="D1420" s="923"/>
      <c r="E1420" s="923"/>
    </row>
    <row r="1421" spans="1:5" x14ac:dyDescent="0.25">
      <c r="A1421" s="922"/>
      <c r="B1421" s="923"/>
      <c r="C1421" s="923"/>
      <c r="D1421" s="923"/>
      <c r="E1421" s="923"/>
    </row>
    <row r="1422" spans="1:5" x14ac:dyDescent="0.25">
      <c r="A1422" s="922"/>
      <c r="B1422" s="923"/>
      <c r="C1422" s="923"/>
      <c r="D1422" s="923"/>
      <c r="E1422" s="923"/>
    </row>
    <row r="1423" spans="1:5" x14ac:dyDescent="0.25">
      <c r="A1423" s="922"/>
      <c r="B1423" s="923"/>
      <c r="C1423" s="923"/>
      <c r="D1423" s="923"/>
      <c r="E1423" s="923"/>
    </row>
    <row r="1424" spans="1:5" x14ac:dyDescent="0.25">
      <c r="A1424" s="922"/>
      <c r="B1424" s="923"/>
      <c r="C1424" s="923"/>
      <c r="D1424" s="923"/>
      <c r="E1424" s="923"/>
    </row>
    <row r="1425" spans="1:5" x14ac:dyDescent="0.25">
      <c r="A1425" s="922"/>
      <c r="B1425" s="923"/>
      <c r="C1425" s="923"/>
      <c r="D1425" s="923"/>
      <c r="E1425" s="923"/>
    </row>
    <row r="1426" spans="1:5" x14ac:dyDescent="0.25">
      <c r="A1426" s="922"/>
      <c r="B1426" s="923"/>
      <c r="C1426" s="923"/>
      <c r="D1426" s="923"/>
      <c r="E1426" s="923"/>
    </row>
    <row r="1427" spans="1:5" x14ac:dyDescent="0.25">
      <c r="A1427" s="922"/>
      <c r="B1427" s="923"/>
      <c r="C1427" s="923"/>
      <c r="D1427" s="923"/>
      <c r="E1427" s="923"/>
    </row>
    <row r="1428" spans="1:5" x14ac:dyDescent="0.25">
      <c r="A1428" s="922"/>
      <c r="B1428" s="923"/>
      <c r="C1428" s="923"/>
      <c r="D1428" s="923"/>
      <c r="E1428" s="923"/>
    </row>
    <row r="1429" spans="1:5" x14ac:dyDescent="0.25">
      <c r="A1429" s="922"/>
      <c r="B1429" s="923"/>
      <c r="C1429" s="923"/>
      <c r="D1429" s="923"/>
      <c r="E1429" s="923"/>
    </row>
    <row r="1430" spans="1:5" x14ac:dyDescent="0.25">
      <c r="A1430" s="922"/>
      <c r="B1430" s="923"/>
      <c r="C1430" s="923"/>
      <c r="D1430" s="923"/>
      <c r="E1430" s="923"/>
    </row>
    <row r="1431" spans="1:5" x14ac:dyDescent="0.25">
      <c r="A1431" s="922"/>
      <c r="B1431" s="923"/>
      <c r="C1431" s="923"/>
      <c r="D1431" s="923"/>
      <c r="E1431" s="923"/>
    </row>
    <row r="1432" spans="1:5" x14ac:dyDescent="0.25">
      <c r="A1432" s="922"/>
      <c r="B1432" s="923"/>
      <c r="C1432" s="923"/>
      <c r="D1432" s="923"/>
      <c r="E1432" s="923"/>
    </row>
    <row r="1433" spans="1:5" x14ac:dyDescent="0.25">
      <c r="A1433" s="922"/>
      <c r="B1433" s="923"/>
      <c r="C1433" s="923"/>
      <c r="D1433" s="923"/>
      <c r="E1433" s="923"/>
    </row>
    <row r="1434" spans="1:5" x14ac:dyDescent="0.25">
      <c r="A1434" s="922"/>
      <c r="B1434" s="923"/>
      <c r="C1434" s="923"/>
      <c r="D1434" s="923"/>
      <c r="E1434" s="923"/>
    </row>
    <row r="1435" spans="1:5" x14ac:dyDescent="0.25">
      <c r="A1435" s="922"/>
      <c r="B1435" s="923"/>
      <c r="C1435" s="923"/>
      <c r="D1435" s="923"/>
      <c r="E1435" s="923"/>
    </row>
    <row r="1436" spans="1:5" x14ac:dyDescent="0.25">
      <c r="A1436" s="922"/>
      <c r="B1436" s="923"/>
      <c r="C1436" s="923"/>
      <c r="D1436" s="923"/>
      <c r="E1436" s="923"/>
    </row>
    <row r="1437" spans="1:5" x14ac:dyDescent="0.25">
      <c r="A1437" s="922"/>
      <c r="B1437" s="923"/>
      <c r="C1437" s="923"/>
      <c r="D1437" s="923"/>
      <c r="E1437" s="923"/>
    </row>
    <row r="1438" spans="1:5" x14ac:dyDescent="0.25">
      <c r="A1438" s="922"/>
      <c r="B1438" s="923"/>
      <c r="C1438" s="923"/>
      <c r="D1438" s="923"/>
      <c r="E1438" s="923"/>
    </row>
    <row r="1439" spans="1:5" x14ac:dyDescent="0.25">
      <c r="A1439" s="922"/>
      <c r="B1439" s="923"/>
      <c r="C1439" s="923"/>
      <c r="D1439" s="923"/>
      <c r="E1439" s="923"/>
    </row>
    <row r="1440" spans="1:5" x14ac:dyDescent="0.25">
      <c r="A1440" s="922"/>
      <c r="B1440" s="923"/>
      <c r="C1440" s="923"/>
      <c r="D1440" s="923"/>
      <c r="E1440" s="923"/>
    </row>
    <row r="1441" spans="1:5" x14ac:dyDescent="0.25">
      <c r="A1441" s="922"/>
      <c r="B1441" s="923"/>
      <c r="C1441" s="923"/>
      <c r="D1441" s="923"/>
      <c r="E1441" s="923"/>
    </row>
    <row r="1442" spans="1:5" x14ac:dyDescent="0.25">
      <c r="A1442" s="922"/>
      <c r="B1442" s="923"/>
      <c r="C1442" s="923"/>
      <c r="D1442" s="923"/>
      <c r="E1442" s="923"/>
    </row>
    <row r="1443" spans="1:5" x14ac:dyDescent="0.25">
      <c r="A1443" s="922"/>
      <c r="B1443" s="923"/>
      <c r="C1443" s="923"/>
      <c r="D1443" s="923"/>
      <c r="E1443" s="923"/>
    </row>
    <row r="1444" spans="1:5" x14ac:dyDescent="0.25">
      <c r="A1444" s="922"/>
      <c r="B1444" s="923"/>
      <c r="C1444" s="923"/>
      <c r="D1444" s="923"/>
      <c r="E1444" s="923"/>
    </row>
    <row r="1445" spans="1:5" x14ac:dyDescent="0.25">
      <c r="A1445" s="922"/>
      <c r="B1445" s="923"/>
      <c r="C1445" s="923"/>
      <c r="D1445" s="923"/>
      <c r="E1445" s="923"/>
    </row>
    <row r="1446" spans="1:5" x14ac:dyDescent="0.25">
      <c r="A1446" s="922"/>
      <c r="B1446" s="923"/>
      <c r="C1446" s="923"/>
      <c r="D1446" s="923"/>
      <c r="E1446" s="923"/>
    </row>
    <row r="1447" spans="1:5" x14ac:dyDescent="0.25">
      <c r="A1447" s="922"/>
      <c r="B1447" s="923"/>
      <c r="C1447" s="923"/>
      <c r="D1447" s="923"/>
      <c r="E1447" s="923"/>
    </row>
    <row r="1448" spans="1:5" x14ac:dyDescent="0.25">
      <c r="A1448" s="922"/>
      <c r="B1448" s="923"/>
      <c r="C1448" s="923"/>
      <c r="D1448" s="923"/>
      <c r="E1448" s="923"/>
    </row>
    <row r="1449" spans="1:5" x14ac:dyDescent="0.25">
      <c r="A1449" s="922"/>
      <c r="B1449" s="923"/>
      <c r="C1449" s="923"/>
      <c r="D1449" s="923"/>
      <c r="E1449" s="923"/>
    </row>
    <row r="1450" spans="1:5" x14ac:dyDescent="0.25">
      <c r="A1450" s="922"/>
      <c r="B1450" s="923"/>
      <c r="C1450" s="923"/>
      <c r="D1450" s="923"/>
      <c r="E1450" s="923"/>
    </row>
    <row r="1451" spans="1:5" x14ac:dyDescent="0.25">
      <c r="A1451" s="922"/>
      <c r="B1451" s="923"/>
      <c r="C1451" s="923"/>
      <c r="D1451" s="923"/>
      <c r="E1451" s="923"/>
    </row>
    <row r="1452" spans="1:5" x14ac:dyDescent="0.25">
      <c r="A1452" s="922"/>
      <c r="B1452" s="923"/>
      <c r="C1452" s="923"/>
      <c r="D1452" s="923"/>
      <c r="E1452" s="923"/>
    </row>
    <row r="1453" spans="1:5" x14ac:dyDescent="0.25">
      <c r="A1453" s="922"/>
      <c r="B1453" s="923"/>
      <c r="C1453" s="923"/>
      <c r="D1453" s="923"/>
      <c r="E1453" s="923"/>
    </row>
    <row r="1454" spans="1:5" x14ac:dyDescent="0.25">
      <c r="A1454" s="922"/>
      <c r="B1454" s="923"/>
      <c r="C1454" s="923"/>
      <c r="D1454" s="923"/>
      <c r="E1454" s="923"/>
    </row>
    <row r="1455" spans="1:5" x14ac:dyDescent="0.25">
      <c r="A1455" s="922"/>
      <c r="B1455" s="923"/>
      <c r="C1455" s="923"/>
      <c r="D1455" s="923"/>
      <c r="E1455" s="923"/>
    </row>
    <row r="1456" spans="1:5" x14ac:dyDescent="0.25">
      <c r="A1456" s="922"/>
      <c r="B1456" s="923"/>
      <c r="C1456" s="923"/>
      <c r="D1456" s="923"/>
      <c r="E1456" s="923"/>
    </row>
    <row r="1457" spans="1:5" x14ac:dyDescent="0.25">
      <c r="A1457" s="922"/>
      <c r="B1457" s="923"/>
      <c r="C1457" s="923"/>
      <c r="D1457" s="923"/>
      <c r="E1457" s="923"/>
    </row>
    <row r="1458" spans="1:5" x14ac:dyDescent="0.25">
      <c r="A1458" s="922"/>
      <c r="B1458" s="923"/>
      <c r="C1458" s="923"/>
      <c r="D1458" s="923"/>
      <c r="E1458" s="923"/>
    </row>
    <row r="1459" spans="1:5" x14ac:dyDescent="0.25">
      <c r="A1459" s="922"/>
      <c r="B1459" s="923"/>
      <c r="C1459" s="923"/>
      <c r="D1459" s="923"/>
      <c r="E1459" s="923"/>
    </row>
    <row r="1460" spans="1:5" x14ac:dyDescent="0.25">
      <c r="A1460" s="922"/>
      <c r="B1460" s="923"/>
      <c r="C1460" s="923"/>
      <c r="D1460" s="923"/>
      <c r="E1460" s="923"/>
    </row>
    <row r="1461" spans="1:5" x14ac:dyDescent="0.25">
      <c r="A1461" s="922"/>
      <c r="B1461" s="923"/>
      <c r="C1461" s="923"/>
      <c r="D1461" s="923"/>
      <c r="E1461" s="923"/>
    </row>
    <row r="1462" spans="1:5" x14ac:dyDescent="0.25">
      <c r="A1462" s="922"/>
      <c r="B1462" s="923"/>
      <c r="C1462" s="923"/>
      <c r="D1462" s="923"/>
      <c r="E1462" s="923"/>
    </row>
    <row r="1463" spans="1:5" x14ac:dyDescent="0.25">
      <c r="A1463" s="922"/>
      <c r="B1463" s="923"/>
      <c r="C1463" s="923"/>
      <c r="D1463" s="923"/>
      <c r="E1463" s="923"/>
    </row>
    <row r="1464" spans="1:5" x14ac:dyDescent="0.25">
      <c r="A1464" s="922"/>
      <c r="B1464" s="923"/>
      <c r="C1464" s="923"/>
      <c r="D1464" s="923"/>
      <c r="E1464" s="923"/>
    </row>
    <row r="1465" spans="1:5" x14ac:dyDescent="0.25">
      <c r="A1465" s="922"/>
      <c r="B1465" s="923"/>
      <c r="C1465" s="923"/>
      <c r="D1465" s="923"/>
      <c r="E1465" s="923"/>
    </row>
    <row r="1466" spans="1:5" x14ac:dyDescent="0.25">
      <c r="A1466" s="922"/>
      <c r="B1466" s="923"/>
      <c r="C1466" s="923"/>
      <c r="D1466" s="923"/>
      <c r="E1466" s="923"/>
    </row>
    <row r="1467" spans="1:5" x14ac:dyDescent="0.25">
      <c r="A1467" s="922"/>
      <c r="B1467" s="923"/>
      <c r="C1467" s="923"/>
      <c r="D1467" s="923"/>
      <c r="E1467" s="923"/>
    </row>
    <row r="1468" spans="1:5" x14ac:dyDescent="0.25">
      <c r="A1468" s="922"/>
      <c r="B1468" s="923"/>
      <c r="C1468" s="923"/>
      <c r="D1468" s="923"/>
      <c r="E1468" s="923"/>
    </row>
    <row r="1469" spans="1:5" x14ac:dyDescent="0.25">
      <c r="A1469" s="922"/>
      <c r="B1469" s="923"/>
      <c r="C1469" s="923"/>
      <c r="D1469" s="923"/>
      <c r="E1469" s="923"/>
    </row>
    <row r="1470" spans="1:5" x14ac:dyDescent="0.25">
      <c r="A1470" s="922"/>
      <c r="B1470" s="923"/>
      <c r="C1470" s="923"/>
      <c r="D1470" s="923"/>
      <c r="E1470" s="923"/>
    </row>
    <row r="1471" spans="1:5" x14ac:dyDescent="0.25">
      <c r="A1471" s="922"/>
      <c r="B1471" s="923"/>
      <c r="C1471" s="923"/>
      <c r="D1471" s="923"/>
      <c r="E1471" s="923"/>
    </row>
    <row r="1472" spans="1:5" x14ac:dyDescent="0.25">
      <c r="A1472" s="922"/>
      <c r="B1472" s="923"/>
      <c r="C1472" s="923"/>
      <c r="D1472" s="923"/>
      <c r="E1472" s="923"/>
    </row>
    <row r="1473" spans="1:5" x14ac:dyDescent="0.25">
      <c r="A1473" s="922"/>
      <c r="B1473" s="923"/>
      <c r="C1473" s="923"/>
      <c r="D1473" s="923"/>
      <c r="E1473" s="923"/>
    </row>
    <row r="1474" spans="1:5" x14ac:dyDescent="0.25">
      <c r="A1474" s="922"/>
      <c r="B1474" s="923"/>
      <c r="C1474" s="923"/>
      <c r="D1474" s="923"/>
      <c r="E1474" s="923"/>
    </row>
    <row r="1475" spans="1:5" x14ac:dyDescent="0.25">
      <c r="A1475" s="922"/>
      <c r="B1475" s="923"/>
      <c r="C1475" s="923"/>
      <c r="D1475" s="923"/>
      <c r="E1475" s="923"/>
    </row>
    <row r="1476" spans="1:5" x14ac:dyDescent="0.25">
      <c r="A1476" s="922"/>
      <c r="B1476" s="923"/>
      <c r="C1476" s="923"/>
      <c r="D1476" s="923"/>
      <c r="E1476" s="923"/>
    </row>
    <row r="1477" spans="1:5" x14ac:dyDescent="0.25">
      <c r="A1477" s="922"/>
      <c r="B1477" s="923"/>
      <c r="C1477" s="923"/>
      <c r="D1477" s="923"/>
      <c r="E1477" s="923"/>
    </row>
    <row r="1478" spans="1:5" x14ac:dyDescent="0.25">
      <c r="A1478" s="922"/>
      <c r="B1478" s="923"/>
      <c r="C1478" s="923"/>
      <c r="D1478" s="923"/>
      <c r="E1478" s="923"/>
    </row>
    <row r="1479" spans="1:5" x14ac:dyDescent="0.25">
      <c r="A1479" s="922"/>
      <c r="B1479" s="923"/>
      <c r="C1479" s="923"/>
      <c r="D1479" s="923"/>
      <c r="E1479" s="923"/>
    </row>
    <row r="1480" spans="1:5" x14ac:dyDescent="0.25">
      <c r="A1480" s="922"/>
      <c r="B1480" s="923"/>
      <c r="C1480" s="923"/>
      <c r="D1480" s="923"/>
      <c r="E1480" s="923"/>
    </row>
    <row r="1481" spans="1:5" x14ac:dyDescent="0.25">
      <c r="A1481" s="922"/>
      <c r="B1481" s="923"/>
      <c r="C1481" s="923"/>
      <c r="D1481" s="923"/>
      <c r="E1481" s="923"/>
    </row>
    <row r="1482" spans="1:5" x14ac:dyDescent="0.25">
      <c r="A1482" s="922"/>
      <c r="B1482" s="923"/>
      <c r="C1482" s="923"/>
      <c r="D1482" s="923"/>
      <c r="E1482" s="923"/>
    </row>
    <row r="1483" spans="1:5" x14ac:dyDescent="0.25">
      <c r="A1483" s="922"/>
      <c r="B1483" s="923"/>
      <c r="C1483" s="923"/>
      <c r="D1483" s="923"/>
      <c r="E1483" s="923"/>
    </row>
    <row r="1484" spans="1:5" x14ac:dyDescent="0.25">
      <c r="A1484" s="922"/>
      <c r="B1484" s="923"/>
      <c r="C1484" s="923"/>
      <c r="D1484" s="923"/>
      <c r="E1484" s="923"/>
    </row>
    <row r="1485" spans="1:5" x14ac:dyDescent="0.25">
      <c r="A1485" s="922"/>
      <c r="B1485" s="923"/>
      <c r="C1485" s="923"/>
      <c r="D1485" s="923"/>
      <c r="E1485" s="923"/>
    </row>
    <row r="1486" spans="1:5" x14ac:dyDescent="0.25">
      <c r="A1486" s="922"/>
      <c r="B1486" s="923"/>
      <c r="C1486" s="923"/>
      <c r="D1486" s="923"/>
      <c r="E1486" s="923"/>
    </row>
    <row r="1487" spans="1:5" x14ac:dyDescent="0.25">
      <c r="A1487" s="922"/>
      <c r="B1487" s="923"/>
      <c r="C1487" s="923"/>
      <c r="D1487" s="923"/>
      <c r="E1487" s="923"/>
    </row>
    <row r="1488" spans="1:5" x14ac:dyDescent="0.25">
      <c r="A1488" s="922"/>
      <c r="B1488" s="923"/>
      <c r="C1488" s="923"/>
      <c r="D1488" s="923"/>
      <c r="E1488" s="923"/>
    </row>
    <row r="1489" spans="1:5" x14ac:dyDescent="0.25">
      <c r="A1489" s="922"/>
      <c r="B1489" s="923"/>
      <c r="C1489" s="923"/>
      <c r="D1489" s="923"/>
      <c r="E1489" s="923"/>
    </row>
    <row r="1490" spans="1:5" x14ac:dyDescent="0.25">
      <c r="A1490" s="922"/>
      <c r="B1490" s="923"/>
      <c r="C1490" s="923"/>
      <c r="D1490" s="923"/>
      <c r="E1490" s="923"/>
    </row>
    <row r="1491" spans="1:5" x14ac:dyDescent="0.25">
      <c r="A1491" s="922"/>
      <c r="B1491" s="923"/>
      <c r="C1491" s="923"/>
      <c r="D1491" s="923"/>
      <c r="E1491" s="923"/>
    </row>
    <row r="1492" spans="1:5" x14ac:dyDescent="0.25">
      <c r="A1492" s="922"/>
      <c r="B1492" s="923"/>
      <c r="C1492" s="923"/>
      <c r="D1492" s="923"/>
      <c r="E1492" s="923"/>
    </row>
    <row r="1493" spans="1:5" x14ac:dyDescent="0.25">
      <c r="A1493" s="922"/>
      <c r="B1493" s="923"/>
      <c r="C1493" s="923"/>
      <c r="D1493" s="923"/>
      <c r="E1493" s="923"/>
    </row>
    <row r="1494" spans="1:5" x14ac:dyDescent="0.25">
      <c r="A1494" s="922"/>
      <c r="B1494" s="923"/>
      <c r="C1494" s="923"/>
      <c r="D1494" s="923"/>
      <c r="E1494" s="923"/>
    </row>
    <row r="1495" spans="1:5" x14ac:dyDescent="0.25">
      <c r="A1495" s="922"/>
      <c r="B1495" s="923"/>
      <c r="C1495" s="923"/>
      <c r="D1495" s="923"/>
      <c r="E1495" s="923"/>
    </row>
    <row r="1496" spans="1:5" x14ac:dyDescent="0.25">
      <c r="A1496" s="922"/>
      <c r="B1496" s="923"/>
      <c r="C1496" s="923"/>
      <c r="D1496" s="923"/>
      <c r="E1496" s="923"/>
    </row>
    <row r="1497" spans="1:5" x14ac:dyDescent="0.25">
      <c r="A1497" s="922"/>
      <c r="B1497" s="923"/>
      <c r="C1497" s="923"/>
      <c r="D1497" s="923"/>
      <c r="E1497" s="923"/>
    </row>
    <row r="1498" spans="1:5" x14ac:dyDescent="0.25">
      <c r="A1498" s="922"/>
      <c r="B1498" s="923"/>
      <c r="C1498" s="923"/>
      <c r="D1498" s="923"/>
      <c r="E1498" s="923"/>
    </row>
    <row r="1499" spans="1:5" x14ac:dyDescent="0.25">
      <c r="A1499" s="922"/>
      <c r="B1499" s="923"/>
      <c r="C1499" s="923"/>
      <c r="D1499" s="923"/>
      <c r="E1499" s="923"/>
    </row>
    <row r="1500" spans="1:5" x14ac:dyDescent="0.25">
      <c r="A1500" s="922"/>
      <c r="B1500" s="923"/>
      <c r="C1500" s="923"/>
      <c r="D1500" s="923"/>
      <c r="E1500" s="923"/>
    </row>
    <row r="1501" spans="1:5" x14ac:dyDescent="0.25">
      <c r="A1501" s="922"/>
      <c r="B1501" s="923"/>
      <c r="C1501" s="923"/>
      <c r="D1501" s="923"/>
      <c r="E1501" s="923"/>
    </row>
    <row r="1502" spans="1:5" x14ac:dyDescent="0.25">
      <c r="A1502" s="922"/>
      <c r="B1502" s="923"/>
      <c r="C1502" s="923"/>
      <c r="D1502" s="923"/>
      <c r="E1502" s="923"/>
    </row>
    <row r="1503" spans="1:5" x14ac:dyDescent="0.25">
      <c r="A1503" s="922"/>
      <c r="B1503" s="923"/>
      <c r="C1503" s="923"/>
      <c r="D1503" s="923"/>
      <c r="E1503" s="923"/>
    </row>
    <row r="1504" spans="1:5" x14ac:dyDescent="0.25">
      <c r="A1504" s="922"/>
      <c r="B1504" s="923"/>
      <c r="C1504" s="923"/>
      <c r="D1504" s="923"/>
      <c r="E1504" s="923"/>
    </row>
    <row r="1505" spans="1:5" x14ac:dyDescent="0.25">
      <c r="A1505" s="922"/>
      <c r="B1505" s="923"/>
      <c r="C1505" s="923"/>
      <c r="D1505" s="923"/>
      <c r="E1505" s="923"/>
    </row>
    <row r="1506" spans="1:5" x14ac:dyDescent="0.25">
      <c r="A1506" s="922"/>
      <c r="B1506" s="923"/>
      <c r="C1506" s="923"/>
      <c r="D1506" s="923"/>
      <c r="E1506" s="923"/>
    </row>
    <row r="1507" spans="1:5" x14ac:dyDescent="0.25">
      <c r="A1507" s="922"/>
      <c r="B1507" s="923"/>
      <c r="C1507" s="923"/>
      <c r="D1507" s="923"/>
      <c r="E1507" s="923"/>
    </row>
    <row r="1508" spans="1:5" x14ac:dyDescent="0.25">
      <c r="A1508" s="922"/>
      <c r="B1508" s="923"/>
      <c r="C1508" s="923"/>
      <c r="D1508" s="923"/>
      <c r="E1508" s="923"/>
    </row>
    <row r="1509" spans="1:5" x14ac:dyDescent="0.25">
      <c r="A1509" s="922"/>
      <c r="B1509" s="923"/>
      <c r="C1509" s="923"/>
      <c r="D1509" s="923"/>
      <c r="E1509" s="923"/>
    </row>
    <row r="1510" spans="1:5" x14ac:dyDescent="0.25">
      <c r="A1510" s="922"/>
      <c r="B1510" s="923"/>
      <c r="C1510" s="923"/>
      <c r="D1510" s="923"/>
      <c r="E1510" s="923"/>
    </row>
    <row r="1511" spans="1:5" x14ac:dyDescent="0.25">
      <c r="A1511" s="922"/>
      <c r="B1511" s="923"/>
      <c r="C1511" s="923"/>
      <c r="D1511" s="923"/>
      <c r="E1511" s="923"/>
    </row>
    <row r="1512" spans="1:5" x14ac:dyDescent="0.25">
      <c r="A1512" s="922"/>
      <c r="B1512" s="923"/>
      <c r="C1512" s="923"/>
      <c r="D1512" s="923"/>
      <c r="E1512" s="923"/>
    </row>
    <row r="1513" spans="1:5" x14ac:dyDescent="0.25">
      <c r="A1513" s="922"/>
      <c r="B1513" s="923"/>
      <c r="C1513" s="923"/>
      <c r="D1513" s="923"/>
      <c r="E1513" s="923"/>
    </row>
    <row r="1514" spans="1:5" x14ac:dyDescent="0.25">
      <c r="A1514" s="922"/>
      <c r="B1514" s="923"/>
      <c r="C1514" s="923"/>
      <c r="D1514" s="923"/>
      <c r="E1514" s="923"/>
    </row>
    <row r="1515" spans="1:5" x14ac:dyDescent="0.25">
      <c r="A1515" s="922"/>
      <c r="B1515" s="923"/>
      <c r="C1515" s="923"/>
      <c r="D1515" s="923"/>
      <c r="E1515" s="923"/>
    </row>
    <row r="1516" spans="1:5" x14ac:dyDescent="0.25">
      <c r="A1516" s="922"/>
      <c r="B1516" s="923"/>
      <c r="C1516" s="923"/>
      <c r="D1516" s="923"/>
      <c r="E1516" s="923"/>
    </row>
    <row r="1517" spans="1:5" x14ac:dyDescent="0.25">
      <c r="A1517" s="922"/>
      <c r="B1517" s="923"/>
      <c r="C1517" s="923"/>
      <c r="D1517" s="923"/>
      <c r="E1517" s="923"/>
    </row>
    <row r="1518" spans="1:5" x14ac:dyDescent="0.25">
      <c r="A1518" s="922"/>
      <c r="B1518" s="923"/>
      <c r="C1518" s="923"/>
      <c r="D1518" s="923"/>
      <c r="E1518" s="923"/>
    </row>
    <row r="1519" spans="1:5" x14ac:dyDescent="0.25">
      <c r="A1519" s="922"/>
      <c r="B1519" s="923"/>
      <c r="C1519" s="923"/>
      <c r="D1519" s="923"/>
      <c r="E1519" s="923"/>
    </row>
    <row r="1520" spans="1:5" x14ac:dyDescent="0.25">
      <c r="A1520" s="922"/>
      <c r="B1520" s="923"/>
      <c r="C1520" s="923"/>
      <c r="D1520" s="923"/>
      <c r="E1520" s="923"/>
    </row>
    <row r="1521" spans="1:5" x14ac:dyDescent="0.25">
      <c r="A1521" s="922"/>
      <c r="B1521" s="923"/>
      <c r="C1521" s="923"/>
      <c r="D1521" s="923"/>
      <c r="E1521" s="923"/>
    </row>
    <row r="1522" spans="1:5" x14ac:dyDescent="0.25">
      <c r="A1522" s="922"/>
      <c r="B1522" s="923"/>
      <c r="C1522" s="923"/>
      <c r="D1522" s="923"/>
      <c r="E1522" s="923"/>
    </row>
    <row r="1523" spans="1:5" x14ac:dyDescent="0.25">
      <c r="A1523" s="922"/>
      <c r="B1523" s="923"/>
      <c r="C1523" s="923"/>
      <c r="D1523" s="923"/>
      <c r="E1523" s="923"/>
    </row>
    <row r="1524" spans="1:5" x14ac:dyDescent="0.25">
      <c r="A1524" s="922"/>
      <c r="B1524" s="923"/>
      <c r="C1524" s="923"/>
      <c r="D1524" s="923"/>
      <c r="E1524" s="923"/>
    </row>
    <row r="1525" spans="1:5" x14ac:dyDescent="0.25">
      <c r="A1525" s="922"/>
      <c r="B1525" s="923"/>
      <c r="C1525" s="923"/>
      <c r="D1525" s="923"/>
      <c r="E1525" s="923"/>
    </row>
    <row r="1526" spans="1:5" x14ac:dyDescent="0.25">
      <c r="A1526" s="922"/>
      <c r="B1526" s="923"/>
      <c r="C1526" s="923"/>
      <c r="D1526" s="923"/>
      <c r="E1526" s="923"/>
    </row>
    <row r="1527" spans="1:5" x14ac:dyDescent="0.25">
      <c r="A1527" s="922"/>
      <c r="B1527" s="923"/>
      <c r="C1527" s="923"/>
      <c r="D1527" s="923"/>
      <c r="E1527" s="923"/>
    </row>
    <row r="1528" spans="1:5" x14ac:dyDescent="0.25">
      <c r="A1528" s="922"/>
      <c r="B1528" s="923"/>
      <c r="C1528" s="923"/>
      <c r="D1528" s="923"/>
      <c r="E1528" s="923"/>
    </row>
    <row r="1529" spans="1:5" x14ac:dyDescent="0.25">
      <c r="A1529" s="922"/>
      <c r="B1529" s="923"/>
      <c r="C1529" s="923"/>
      <c r="D1529" s="923"/>
      <c r="E1529" s="923"/>
    </row>
    <row r="1530" spans="1:5" x14ac:dyDescent="0.25">
      <c r="A1530" s="922"/>
      <c r="B1530" s="923"/>
      <c r="C1530" s="923"/>
      <c r="D1530" s="923"/>
      <c r="E1530" s="923"/>
    </row>
    <row r="1531" spans="1:5" x14ac:dyDescent="0.25">
      <c r="A1531" s="922"/>
      <c r="B1531" s="923"/>
      <c r="C1531" s="923"/>
      <c r="D1531" s="923"/>
      <c r="E1531" s="923"/>
    </row>
    <row r="1532" spans="1:5" x14ac:dyDescent="0.25">
      <c r="A1532" s="922"/>
      <c r="B1532" s="923"/>
      <c r="C1532" s="923"/>
      <c r="D1532" s="923"/>
      <c r="E1532" s="923"/>
    </row>
    <row r="1533" spans="1:5" x14ac:dyDescent="0.25">
      <c r="A1533" s="922"/>
      <c r="B1533" s="923"/>
      <c r="C1533" s="923"/>
      <c r="D1533" s="923"/>
      <c r="E1533" s="923"/>
    </row>
    <row r="1534" spans="1:5" x14ac:dyDescent="0.25">
      <c r="A1534" s="922"/>
      <c r="B1534" s="923"/>
      <c r="C1534" s="923"/>
      <c r="D1534" s="923"/>
      <c r="E1534" s="923"/>
    </row>
    <row r="1535" spans="1:5" x14ac:dyDescent="0.25">
      <c r="A1535" s="922"/>
      <c r="B1535" s="923"/>
      <c r="C1535" s="923"/>
      <c r="D1535" s="923"/>
      <c r="E1535" s="923"/>
    </row>
    <row r="1536" spans="1:5" x14ac:dyDescent="0.25">
      <c r="A1536" s="922"/>
      <c r="B1536" s="923"/>
      <c r="C1536" s="923"/>
      <c r="D1536" s="923"/>
      <c r="E1536" s="923"/>
    </row>
    <row r="1537" spans="1:5" x14ac:dyDescent="0.25">
      <c r="A1537" s="922"/>
      <c r="B1537" s="923"/>
      <c r="C1537" s="923"/>
      <c r="D1537" s="923"/>
      <c r="E1537" s="923"/>
    </row>
    <row r="1538" spans="1:5" x14ac:dyDescent="0.25">
      <c r="A1538" s="922"/>
      <c r="B1538" s="923"/>
      <c r="C1538" s="923"/>
      <c r="D1538" s="923"/>
      <c r="E1538" s="923"/>
    </row>
    <row r="1539" spans="1:5" x14ac:dyDescent="0.25">
      <c r="A1539" s="922"/>
      <c r="B1539" s="923"/>
      <c r="C1539" s="923"/>
      <c r="D1539" s="923"/>
      <c r="E1539" s="923"/>
    </row>
    <row r="1540" spans="1:5" x14ac:dyDescent="0.25">
      <c r="A1540" s="922"/>
      <c r="B1540" s="923"/>
      <c r="C1540" s="923"/>
      <c r="D1540" s="923"/>
      <c r="E1540" s="923"/>
    </row>
    <row r="1541" spans="1:5" x14ac:dyDescent="0.25">
      <c r="A1541" s="922"/>
      <c r="B1541" s="923"/>
      <c r="C1541" s="923"/>
      <c r="D1541" s="923"/>
      <c r="E1541" s="923"/>
    </row>
    <row r="1542" spans="1:5" x14ac:dyDescent="0.25">
      <c r="A1542" s="922"/>
      <c r="B1542" s="923"/>
      <c r="C1542" s="923"/>
      <c r="D1542" s="923"/>
      <c r="E1542" s="923"/>
    </row>
    <row r="1543" spans="1:5" x14ac:dyDescent="0.25">
      <c r="A1543" s="922"/>
      <c r="B1543" s="923"/>
      <c r="C1543" s="923"/>
      <c r="D1543" s="923"/>
      <c r="E1543" s="923"/>
    </row>
    <row r="1544" spans="1:5" x14ac:dyDescent="0.25">
      <c r="A1544" s="922"/>
      <c r="B1544" s="923"/>
      <c r="C1544" s="923"/>
      <c r="D1544" s="923"/>
      <c r="E1544" s="923"/>
    </row>
    <row r="1545" spans="1:5" x14ac:dyDescent="0.25">
      <c r="A1545" s="922"/>
      <c r="B1545" s="923"/>
      <c r="C1545" s="923"/>
      <c r="D1545" s="923"/>
      <c r="E1545" s="923"/>
    </row>
    <row r="1546" spans="1:5" x14ac:dyDescent="0.25">
      <c r="A1546" s="922"/>
      <c r="B1546" s="923"/>
      <c r="C1546" s="923"/>
      <c r="D1546" s="923"/>
      <c r="E1546" s="923"/>
    </row>
    <row r="1547" spans="1:5" x14ac:dyDescent="0.25">
      <c r="A1547" s="922"/>
      <c r="B1547" s="923"/>
      <c r="C1547" s="923"/>
      <c r="D1547" s="923"/>
      <c r="E1547" s="923"/>
    </row>
    <row r="1548" spans="1:5" x14ac:dyDescent="0.25">
      <c r="A1548" s="922"/>
      <c r="B1548" s="923"/>
      <c r="C1548" s="923"/>
      <c r="D1548" s="923"/>
      <c r="E1548" s="923"/>
    </row>
    <row r="1549" spans="1:5" x14ac:dyDescent="0.25">
      <c r="A1549" s="922"/>
      <c r="B1549" s="923"/>
      <c r="C1549" s="923"/>
      <c r="D1549" s="923"/>
      <c r="E1549" s="923"/>
    </row>
    <row r="1550" spans="1:5" x14ac:dyDescent="0.25">
      <c r="A1550" s="922"/>
      <c r="B1550" s="923"/>
      <c r="C1550" s="923"/>
      <c r="D1550" s="923"/>
      <c r="E1550" s="923"/>
    </row>
    <row r="1551" spans="1:5" x14ac:dyDescent="0.25">
      <c r="A1551" s="922"/>
      <c r="B1551" s="923"/>
      <c r="C1551" s="923"/>
      <c r="D1551" s="923"/>
      <c r="E1551" s="923"/>
    </row>
    <row r="1552" spans="1:5" x14ac:dyDescent="0.25">
      <c r="A1552" s="922"/>
      <c r="B1552" s="923"/>
      <c r="C1552" s="923"/>
      <c r="D1552" s="923"/>
      <c r="E1552" s="923"/>
    </row>
    <row r="1553" spans="1:5" x14ac:dyDescent="0.25">
      <c r="A1553" s="922"/>
      <c r="B1553" s="923"/>
      <c r="C1553" s="923"/>
      <c r="D1553" s="923"/>
      <c r="E1553" s="923"/>
    </row>
    <row r="1554" spans="1:5" x14ac:dyDescent="0.25">
      <c r="A1554" s="922"/>
      <c r="B1554" s="923"/>
      <c r="C1554" s="923"/>
      <c r="D1554" s="923"/>
      <c r="E1554" s="923"/>
    </row>
    <row r="1555" spans="1:5" x14ac:dyDescent="0.25">
      <c r="A1555" s="922"/>
      <c r="B1555" s="923"/>
      <c r="C1555" s="923"/>
      <c r="D1555" s="923"/>
      <c r="E1555" s="923"/>
    </row>
    <row r="1556" spans="1:5" x14ac:dyDescent="0.25">
      <c r="A1556" s="922"/>
      <c r="B1556" s="923"/>
      <c r="C1556" s="923"/>
      <c r="D1556" s="923"/>
      <c r="E1556" s="923"/>
    </row>
    <row r="1557" spans="1:5" x14ac:dyDescent="0.25">
      <c r="A1557" s="922"/>
      <c r="B1557" s="923"/>
      <c r="C1557" s="923"/>
      <c r="D1557" s="923"/>
      <c r="E1557" s="923"/>
    </row>
    <row r="1558" spans="1:5" x14ac:dyDescent="0.25">
      <c r="A1558" s="922"/>
      <c r="B1558" s="923"/>
      <c r="C1558" s="923"/>
      <c r="D1558" s="923"/>
      <c r="E1558" s="923"/>
    </row>
    <row r="1559" spans="1:5" x14ac:dyDescent="0.25">
      <c r="A1559" s="922"/>
      <c r="B1559" s="923"/>
      <c r="C1559" s="923"/>
      <c r="D1559" s="923"/>
      <c r="E1559" s="923"/>
    </row>
    <row r="1560" spans="1:5" x14ac:dyDescent="0.25">
      <c r="A1560" s="922"/>
      <c r="B1560" s="923"/>
      <c r="C1560" s="923"/>
      <c r="D1560" s="923"/>
      <c r="E1560" s="923"/>
    </row>
    <row r="1561" spans="1:5" x14ac:dyDescent="0.25">
      <c r="A1561" s="922"/>
      <c r="B1561" s="923"/>
      <c r="C1561" s="923"/>
      <c r="D1561" s="923"/>
      <c r="E1561" s="923"/>
    </row>
    <row r="1562" spans="1:5" x14ac:dyDescent="0.25">
      <c r="A1562" s="922"/>
      <c r="B1562" s="923"/>
      <c r="C1562" s="923"/>
      <c r="D1562" s="923"/>
      <c r="E1562" s="923"/>
    </row>
    <row r="1563" spans="1:5" x14ac:dyDescent="0.25">
      <c r="A1563" s="922"/>
      <c r="B1563" s="923"/>
      <c r="C1563" s="923"/>
      <c r="D1563" s="923"/>
      <c r="E1563" s="923"/>
    </row>
    <row r="1564" spans="1:5" x14ac:dyDescent="0.25">
      <c r="A1564" s="922"/>
      <c r="B1564" s="923"/>
      <c r="C1564" s="923"/>
      <c r="D1564" s="923"/>
      <c r="E1564" s="923"/>
    </row>
    <row r="1565" spans="1:5" x14ac:dyDescent="0.25">
      <c r="A1565" s="922"/>
      <c r="B1565" s="923"/>
      <c r="C1565" s="923"/>
      <c r="D1565" s="923"/>
      <c r="E1565" s="923"/>
    </row>
    <row r="1566" spans="1:5" x14ac:dyDescent="0.25">
      <c r="A1566" s="922"/>
      <c r="B1566" s="923"/>
      <c r="C1566" s="923"/>
      <c r="D1566" s="923"/>
      <c r="E1566" s="923"/>
    </row>
    <row r="1567" spans="1:5" x14ac:dyDescent="0.25">
      <c r="A1567" s="922"/>
      <c r="B1567" s="923"/>
      <c r="C1567" s="923"/>
      <c r="D1567" s="923"/>
      <c r="E1567" s="923"/>
    </row>
    <row r="1568" spans="1:5" x14ac:dyDescent="0.25">
      <c r="A1568" s="922"/>
      <c r="B1568" s="923"/>
      <c r="C1568" s="923"/>
      <c r="D1568" s="923"/>
      <c r="E1568" s="923"/>
    </row>
    <row r="1569" spans="1:5" x14ac:dyDescent="0.25">
      <c r="A1569" s="922"/>
      <c r="B1569" s="923"/>
      <c r="C1569" s="923"/>
      <c r="D1569" s="923"/>
      <c r="E1569" s="923"/>
    </row>
    <row r="1570" spans="1:5" x14ac:dyDescent="0.25">
      <c r="A1570" s="922"/>
      <c r="B1570" s="923"/>
      <c r="C1570" s="923"/>
      <c r="D1570" s="923"/>
      <c r="E1570" s="923"/>
    </row>
    <row r="1571" spans="1:5" x14ac:dyDescent="0.25">
      <c r="A1571" s="922"/>
      <c r="B1571" s="923"/>
      <c r="C1571" s="923"/>
      <c r="D1571" s="923"/>
      <c r="E1571" s="923"/>
    </row>
    <row r="1572" spans="1:5" x14ac:dyDescent="0.25">
      <c r="A1572" s="922"/>
      <c r="B1572" s="923"/>
      <c r="C1572" s="923"/>
      <c r="D1572" s="923"/>
      <c r="E1572" s="923"/>
    </row>
    <row r="1573" spans="1:5" x14ac:dyDescent="0.25">
      <c r="A1573" s="922"/>
      <c r="B1573" s="923"/>
      <c r="C1573" s="923"/>
      <c r="D1573" s="923"/>
      <c r="E1573" s="923"/>
    </row>
    <row r="1574" spans="1:5" x14ac:dyDescent="0.25">
      <c r="A1574" s="922"/>
      <c r="B1574" s="923"/>
      <c r="C1574" s="923"/>
      <c r="D1574" s="923"/>
      <c r="E1574" s="923"/>
    </row>
    <row r="1575" spans="1:5" x14ac:dyDescent="0.25">
      <c r="A1575" s="922"/>
      <c r="B1575" s="923"/>
      <c r="C1575" s="923"/>
      <c r="D1575" s="923"/>
      <c r="E1575" s="923"/>
    </row>
    <row r="1576" spans="1:5" x14ac:dyDescent="0.25">
      <c r="A1576" s="922"/>
      <c r="B1576" s="923"/>
      <c r="C1576" s="923"/>
      <c r="D1576" s="923"/>
      <c r="E1576" s="923"/>
    </row>
    <row r="1577" spans="1:5" x14ac:dyDescent="0.25">
      <c r="A1577" s="922"/>
      <c r="B1577" s="923"/>
      <c r="C1577" s="923"/>
      <c r="D1577" s="923"/>
      <c r="E1577" s="923"/>
    </row>
    <row r="1578" spans="1:5" x14ac:dyDescent="0.25">
      <c r="A1578" s="922"/>
      <c r="B1578" s="923"/>
      <c r="C1578" s="923"/>
      <c r="D1578" s="923"/>
      <c r="E1578" s="923"/>
    </row>
    <row r="1579" spans="1:5" x14ac:dyDescent="0.25">
      <c r="A1579" s="922"/>
      <c r="B1579" s="923"/>
      <c r="C1579" s="923"/>
      <c r="D1579" s="923"/>
      <c r="E1579" s="923"/>
    </row>
    <row r="1580" spans="1:5" x14ac:dyDescent="0.25">
      <c r="A1580" s="922"/>
      <c r="B1580" s="923"/>
      <c r="C1580" s="923"/>
      <c r="D1580" s="923"/>
      <c r="E1580" s="923"/>
    </row>
    <row r="1581" spans="1:5" x14ac:dyDescent="0.25">
      <c r="A1581" s="922"/>
      <c r="B1581" s="923"/>
      <c r="C1581" s="923"/>
      <c r="D1581" s="923"/>
      <c r="E1581" s="923"/>
    </row>
    <row r="1582" spans="1:5" x14ac:dyDescent="0.25">
      <c r="A1582" s="922"/>
      <c r="B1582" s="923"/>
      <c r="C1582" s="923"/>
      <c r="D1582" s="923"/>
      <c r="E1582" s="923"/>
    </row>
    <row r="1583" spans="1:5" x14ac:dyDescent="0.25">
      <c r="A1583" s="922"/>
      <c r="B1583" s="923"/>
      <c r="C1583" s="923"/>
      <c r="D1583" s="923"/>
      <c r="E1583" s="923"/>
    </row>
    <row r="1584" spans="1:5" x14ac:dyDescent="0.25">
      <c r="A1584" s="922"/>
      <c r="B1584" s="923"/>
      <c r="C1584" s="923"/>
      <c r="D1584" s="923"/>
      <c r="E1584" s="923"/>
    </row>
    <row r="1585" spans="1:5" x14ac:dyDescent="0.25">
      <c r="A1585" s="922"/>
      <c r="B1585" s="923"/>
      <c r="C1585" s="923"/>
      <c r="D1585" s="923"/>
      <c r="E1585" s="923"/>
    </row>
    <row r="1586" spans="1:5" x14ac:dyDescent="0.25">
      <c r="A1586" s="922"/>
      <c r="B1586" s="923"/>
      <c r="C1586" s="923"/>
      <c r="D1586" s="923"/>
      <c r="E1586" s="923"/>
    </row>
    <row r="1587" spans="1:5" x14ac:dyDescent="0.25">
      <c r="A1587" s="922"/>
      <c r="B1587" s="923"/>
      <c r="C1587" s="923"/>
      <c r="D1587" s="923"/>
      <c r="E1587" s="923"/>
    </row>
    <row r="1588" spans="1:5" x14ac:dyDescent="0.25">
      <c r="A1588" s="922"/>
      <c r="B1588" s="923"/>
      <c r="C1588" s="923"/>
      <c r="D1588" s="923"/>
      <c r="E1588" s="923"/>
    </row>
    <row r="1589" spans="1:5" x14ac:dyDescent="0.25">
      <c r="A1589" s="922"/>
      <c r="B1589" s="923"/>
      <c r="C1589" s="923"/>
      <c r="D1589" s="923"/>
      <c r="E1589" s="923"/>
    </row>
    <row r="1590" spans="1:5" x14ac:dyDescent="0.25">
      <c r="A1590" s="922"/>
      <c r="B1590" s="923"/>
      <c r="C1590" s="923"/>
      <c r="D1590" s="923"/>
      <c r="E1590" s="923"/>
    </row>
    <row r="1591" spans="1:5" x14ac:dyDescent="0.25">
      <c r="A1591" s="922"/>
      <c r="B1591" s="923"/>
      <c r="C1591" s="923"/>
      <c r="D1591" s="923"/>
      <c r="E1591" s="923"/>
    </row>
    <row r="1592" spans="1:5" x14ac:dyDescent="0.25">
      <c r="A1592" s="922"/>
      <c r="B1592" s="923"/>
      <c r="C1592" s="923"/>
      <c r="D1592" s="923"/>
      <c r="E1592" s="923"/>
    </row>
    <row r="1593" spans="1:5" x14ac:dyDescent="0.25">
      <c r="A1593" s="922"/>
      <c r="B1593" s="923"/>
      <c r="C1593" s="923"/>
      <c r="D1593" s="923"/>
      <c r="E1593" s="923"/>
    </row>
    <row r="1594" spans="1:5" x14ac:dyDescent="0.25">
      <c r="A1594" s="922"/>
      <c r="B1594" s="923"/>
      <c r="C1594" s="923"/>
      <c r="D1594" s="923"/>
      <c r="E1594" s="923"/>
    </row>
    <row r="1595" spans="1:5" x14ac:dyDescent="0.25">
      <c r="A1595" s="922"/>
      <c r="B1595" s="923"/>
      <c r="C1595" s="923"/>
      <c r="D1595" s="923"/>
      <c r="E1595" s="923"/>
    </row>
    <row r="1596" spans="1:5" x14ac:dyDescent="0.25">
      <c r="A1596" s="922"/>
      <c r="B1596" s="923"/>
      <c r="C1596" s="923"/>
      <c r="D1596" s="923"/>
      <c r="E1596" s="923"/>
    </row>
    <row r="1597" spans="1:5" x14ac:dyDescent="0.25">
      <c r="A1597" s="922"/>
      <c r="B1597" s="923"/>
      <c r="C1597" s="923"/>
      <c r="D1597" s="923"/>
      <c r="E1597" s="923"/>
    </row>
    <row r="1598" spans="1:5" x14ac:dyDescent="0.25">
      <c r="A1598" s="922"/>
      <c r="B1598" s="923"/>
      <c r="C1598" s="923"/>
      <c r="D1598" s="923"/>
      <c r="E1598" s="923"/>
    </row>
    <row r="1599" spans="1:5" x14ac:dyDescent="0.25">
      <c r="A1599" s="922"/>
      <c r="B1599" s="923"/>
      <c r="C1599" s="923"/>
      <c r="D1599" s="923"/>
      <c r="E1599" s="923"/>
    </row>
    <row r="1600" spans="1:5" x14ac:dyDescent="0.25">
      <c r="A1600" s="922"/>
      <c r="B1600" s="923"/>
      <c r="C1600" s="923"/>
      <c r="D1600" s="923"/>
      <c r="E1600" s="923"/>
    </row>
    <row r="1601" spans="1:5" x14ac:dyDescent="0.25">
      <c r="A1601" s="922"/>
      <c r="B1601" s="923"/>
      <c r="C1601" s="923"/>
      <c r="D1601" s="923"/>
      <c r="E1601" s="923"/>
    </row>
    <row r="1602" spans="1:5" x14ac:dyDescent="0.25">
      <c r="A1602" s="922"/>
      <c r="B1602" s="923"/>
      <c r="C1602" s="923"/>
      <c r="D1602" s="923"/>
      <c r="E1602" s="923"/>
    </row>
    <row r="1603" spans="1:5" x14ac:dyDescent="0.25">
      <c r="A1603" s="922"/>
      <c r="B1603" s="923"/>
      <c r="C1603" s="923"/>
      <c r="D1603" s="923"/>
      <c r="E1603" s="923"/>
    </row>
    <row r="1604" spans="1:5" x14ac:dyDescent="0.25">
      <c r="A1604" s="922"/>
      <c r="B1604" s="923"/>
      <c r="C1604" s="923"/>
      <c r="D1604" s="923"/>
      <c r="E1604" s="923"/>
    </row>
    <row r="1605" spans="1:5" x14ac:dyDescent="0.25">
      <c r="A1605" s="922"/>
      <c r="B1605" s="923"/>
      <c r="C1605" s="923"/>
      <c r="D1605" s="923"/>
      <c r="E1605" s="923"/>
    </row>
    <row r="1606" spans="1:5" x14ac:dyDescent="0.25">
      <c r="A1606" s="922"/>
      <c r="B1606" s="923"/>
      <c r="C1606" s="923"/>
      <c r="D1606" s="923"/>
      <c r="E1606" s="923"/>
    </row>
    <row r="1607" spans="1:5" x14ac:dyDescent="0.25">
      <c r="A1607" s="922"/>
      <c r="B1607" s="923"/>
      <c r="C1607" s="923"/>
      <c r="D1607" s="923"/>
      <c r="E1607" s="923"/>
    </row>
    <row r="1608" spans="1:5" x14ac:dyDescent="0.25">
      <c r="A1608" s="922"/>
      <c r="B1608" s="923"/>
      <c r="C1608" s="923"/>
      <c r="D1608" s="923"/>
      <c r="E1608" s="923"/>
    </row>
    <row r="1609" spans="1:5" x14ac:dyDescent="0.25">
      <c r="A1609" s="922"/>
      <c r="B1609" s="923"/>
      <c r="C1609" s="923"/>
      <c r="D1609" s="923"/>
      <c r="E1609" s="923"/>
    </row>
    <row r="1610" spans="1:5" x14ac:dyDescent="0.25">
      <c r="A1610" s="922"/>
      <c r="B1610" s="923"/>
      <c r="C1610" s="923"/>
      <c r="D1610" s="923"/>
      <c r="E1610" s="923"/>
    </row>
    <row r="1611" spans="1:5" x14ac:dyDescent="0.25">
      <c r="A1611" s="922"/>
      <c r="B1611" s="923"/>
      <c r="C1611" s="923"/>
      <c r="D1611" s="923"/>
      <c r="E1611" s="923"/>
    </row>
    <row r="1612" spans="1:5" x14ac:dyDescent="0.25">
      <c r="A1612" s="922"/>
      <c r="B1612" s="923"/>
      <c r="C1612" s="923"/>
      <c r="D1612" s="923"/>
      <c r="E1612" s="923"/>
    </row>
    <row r="1613" spans="1:5" x14ac:dyDescent="0.25">
      <c r="A1613" s="922"/>
      <c r="B1613" s="923"/>
      <c r="C1613" s="923"/>
      <c r="D1613" s="923"/>
      <c r="E1613" s="923"/>
    </row>
    <row r="1614" spans="1:5" x14ac:dyDescent="0.25">
      <c r="A1614" s="922"/>
      <c r="B1614" s="923"/>
      <c r="C1614" s="923"/>
      <c r="D1614" s="923"/>
      <c r="E1614" s="923"/>
    </row>
    <row r="1615" spans="1:5" x14ac:dyDescent="0.25">
      <c r="A1615" s="922"/>
      <c r="B1615" s="923"/>
      <c r="C1615" s="923"/>
      <c r="D1615" s="923"/>
      <c r="E1615" s="923"/>
    </row>
    <row r="1616" spans="1:5" x14ac:dyDescent="0.25">
      <c r="A1616" s="922"/>
      <c r="B1616" s="923"/>
      <c r="C1616" s="923"/>
      <c r="D1616" s="923"/>
      <c r="E1616" s="923"/>
    </row>
    <row r="1617" spans="1:5" x14ac:dyDescent="0.25">
      <c r="A1617" s="922"/>
      <c r="B1617" s="923"/>
      <c r="C1617" s="923"/>
      <c r="D1617" s="923"/>
      <c r="E1617" s="923"/>
    </row>
    <row r="1618" spans="1:5" x14ac:dyDescent="0.25">
      <c r="A1618" s="922"/>
      <c r="B1618" s="923"/>
      <c r="C1618" s="923"/>
      <c r="D1618" s="923"/>
      <c r="E1618" s="923"/>
    </row>
    <row r="1619" spans="1:5" x14ac:dyDescent="0.25">
      <c r="A1619" s="922"/>
      <c r="B1619" s="923"/>
      <c r="C1619" s="923"/>
      <c r="D1619" s="923"/>
      <c r="E1619" s="923"/>
    </row>
    <row r="1620" spans="1:5" x14ac:dyDescent="0.25">
      <c r="A1620" s="922"/>
      <c r="B1620" s="923"/>
      <c r="C1620" s="923"/>
      <c r="D1620" s="923"/>
      <c r="E1620" s="923"/>
    </row>
    <row r="1621" spans="1:5" x14ac:dyDescent="0.25">
      <c r="A1621" s="922"/>
      <c r="B1621" s="923"/>
      <c r="C1621" s="923"/>
      <c r="D1621" s="923"/>
      <c r="E1621" s="923"/>
    </row>
    <row r="1622" spans="1:5" x14ac:dyDescent="0.25">
      <c r="A1622" s="922"/>
      <c r="B1622" s="923"/>
      <c r="C1622" s="923"/>
      <c r="D1622" s="923"/>
      <c r="E1622" s="923"/>
    </row>
    <row r="1623" spans="1:5" x14ac:dyDescent="0.25">
      <c r="A1623" s="922"/>
      <c r="B1623" s="923"/>
      <c r="C1623" s="923"/>
      <c r="D1623" s="923"/>
      <c r="E1623" s="923"/>
    </row>
    <row r="1624" spans="1:5" x14ac:dyDescent="0.25">
      <c r="A1624" s="922"/>
      <c r="B1624" s="923"/>
      <c r="C1624" s="923"/>
      <c r="D1624" s="923"/>
      <c r="E1624" s="923"/>
    </row>
    <row r="1625" spans="1:5" x14ac:dyDescent="0.25">
      <c r="A1625" s="922"/>
      <c r="B1625" s="923"/>
      <c r="C1625" s="923"/>
      <c r="D1625" s="923"/>
      <c r="E1625" s="923"/>
    </row>
    <row r="1626" spans="1:5" x14ac:dyDescent="0.25">
      <c r="A1626" s="922"/>
      <c r="B1626" s="923"/>
      <c r="C1626" s="923"/>
      <c r="D1626" s="923"/>
      <c r="E1626" s="923"/>
    </row>
    <row r="1627" spans="1:5" x14ac:dyDescent="0.25">
      <c r="A1627" s="922"/>
      <c r="B1627" s="923"/>
      <c r="C1627" s="923"/>
      <c r="D1627" s="923"/>
      <c r="E1627" s="923"/>
    </row>
    <row r="1628" spans="1:5" x14ac:dyDescent="0.25">
      <c r="A1628" s="922"/>
      <c r="B1628" s="923"/>
      <c r="C1628" s="923"/>
      <c r="D1628" s="923"/>
      <c r="E1628" s="923"/>
    </row>
    <row r="1629" spans="1:5" x14ac:dyDescent="0.25">
      <c r="A1629" s="922"/>
      <c r="B1629" s="923"/>
      <c r="C1629" s="923"/>
      <c r="D1629" s="923"/>
      <c r="E1629" s="923"/>
    </row>
    <row r="1630" spans="1:5" x14ac:dyDescent="0.25">
      <c r="A1630" s="922"/>
      <c r="B1630" s="923"/>
      <c r="C1630" s="923"/>
      <c r="D1630" s="923"/>
      <c r="E1630" s="923"/>
    </row>
    <row r="1631" spans="1:5" x14ac:dyDescent="0.25">
      <c r="A1631" s="922"/>
      <c r="B1631" s="923"/>
      <c r="C1631" s="923"/>
      <c r="D1631" s="923"/>
      <c r="E1631" s="923"/>
    </row>
    <row r="1632" spans="1:5" x14ac:dyDescent="0.25">
      <c r="A1632" s="922"/>
      <c r="B1632" s="923"/>
      <c r="C1632" s="923"/>
      <c r="D1632" s="923"/>
      <c r="E1632" s="923"/>
    </row>
    <row r="1633" spans="1:5" x14ac:dyDescent="0.25">
      <c r="A1633" s="922"/>
      <c r="B1633" s="923"/>
      <c r="C1633" s="923"/>
      <c r="D1633" s="923"/>
      <c r="E1633" s="923"/>
    </row>
    <row r="1634" spans="1:5" x14ac:dyDescent="0.25">
      <c r="A1634" s="922"/>
      <c r="B1634" s="923"/>
      <c r="C1634" s="923"/>
      <c r="D1634" s="923"/>
      <c r="E1634" s="923"/>
    </row>
    <row r="1635" spans="1:5" x14ac:dyDescent="0.25">
      <c r="A1635" s="922"/>
      <c r="B1635" s="923"/>
      <c r="C1635" s="923"/>
      <c r="D1635" s="923"/>
      <c r="E1635" s="923"/>
    </row>
    <row r="1636" spans="1:5" x14ac:dyDescent="0.25">
      <c r="A1636" s="922"/>
      <c r="B1636" s="923"/>
      <c r="C1636" s="923"/>
      <c r="D1636" s="923"/>
      <c r="E1636" s="923"/>
    </row>
    <row r="1637" spans="1:5" x14ac:dyDescent="0.25">
      <c r="A1637" s="922"/>
      <c r="B1637" s="923"/>
      <c r="C1637" s="923"/>
      <c r="D1637" s="923"/>
      <c r="E1637" s="923"/>
    </row>
    <row r="1638" spans="1:5" x14ac:dyDescent="0.25">
      <c r="A1638" s="922"/>
      <c r="B1638" s="923"/>
      <c r="C1638" s="923"/>
      <c r="D1638" s="923"/>
      <c r="E1638" s="923"/>
    </row>
    <row r="1639" spans="1:5" x14ac:dyDescent="0.25">
      <c r="A1639" s="922"/>
      <c r="B1639" s="923"/>
      <c r="C1639" s="923"/>
      <c r="D1639" s="923"/>
      <c r="E1639" s="923"/>
    </row>
    <row r="1640" spans="1:5" x14ac:dyDescent="0.25">
      <c r="A1640" s="922"/>
      <c r="B1640" s="923"/>
      <c r="C1640" s="923"/>
      <c r="D1640" s="923"/>
      <c r="E1640" s="923"/>
    </row>
    <row r="1641" spans="1:5" x14ac:dyDescent="0.25">
      <c r="A1641" s="922"/>
      <c r="B1641" s="923"/>
      <c r="C1641" s="923"/>
      <c r="D1641" s="923"/>
      <c r="E1641" s="923"/>
    </row>
    <row r="1642" spans="1:5" x14ac:dyDescent="0.25">
      <c r="A1642" s="922"/>
      <c r="B1642" s="923"/>
      <c r="C1642" s="923"/>
      <c r="D1642" s="923"/>
      <c r="E1642" s="923"/>
    </row>
    <row r="1643" spans="1:5" x14ac:dyDescent="0.25">
      <c r="A1643" s="922"/>
      <c r="B1643" s="923"/>
      <c r="C1643" s="923"/>
      <c r="D1643" s="923"/>
      <c r="E1643" s="923"/>
    </row>
    <row r="1644" spans="1:5" x14ac:dyDescent="0.25">
      <c r="A1644" s="922"/>
      <c r="B1644" s="923"/>
      <c r="C1644" s="923"/>
      <c r="D1644" s="923"/>
      <c r="E1644" s="923"/>
    </row>
    <row r="1645" spans="1:5" x14ac:dyDescent="0.25">
      <c r="A1645" s="922"/>
      <c r="B1645" s="923"/>
      <c r="C1645" s="923"/>
      <c r="D1645" s="923"/>
      <c r="E1645" s="923"/>
    </row>
    <row r="1646" spans="1:5" x14ac:dyDescent="0.25">
      <c r="A1646" s="922"/>
      <c r="B1646" s="923"/>
      <c r="C1646" s="923"/>
      <c r="D1646" s="923"/>
      <c r="E1646" s="923"/>
    </row>
    <row r="1647" spans="1:5" x14ac:dyDescent="0.25">
      <c r="A1647" s="922"/>
      <c r="B1647" s="923"/>
      <c r="C1647" s="923"/>
      <c r="D1647" s="923"/>
      <c r="E1647" s="923"/>
    </row>
    <row r="1648" spans="1:5" x14ac:dyDescent="0.25">
      <c r="A1648" s="922"/>
      <c r="B1648" s="923"/>
      <c r="C1648" s="923"/>
      <c r="D1648" s="923"/>
      <c r="E1648" s="923"/>
    </row>
    <row r="1649" spans="1:5" x14ac:dyDescent="0.25">
      <c r="A1649" s="922"/>
      <c r="B1649" s="923"/>
      <c r="C1649" s="923"/>
      <c r="D1649" s="923"/>
      <c r="E1649" s="923"/>
    </row>
    <row r="1650" spans="1:5" x14ac:dyDescent="0.25">
      <c r="A1650" s="922"/>
      <c r="B1650" s="923"/>
      <c r="C1650" s="923"/>
      <c r="D1650" s="923"/>
      <c r="E1650" s="923"/>
    </row>
    <row r="1651" spans="1:5" x14ac:dyDescent="0.25">
      <c r="A1651" s="922"/>
      <c r="B1651" s="923"/>
      <c r="C1651" s="923"/>
      <c r="D1651" s="923"/>
      <c r="E1651" s="923"/>
    </row>
    <row r="1652" spans="1:5" x14ac:dyDescent="0.25">
      <c r="A1652" s="922"/>
      <c r="B1652" s="923"/>
      <c r="C1652" s="923"/>
      <c r="D1652" s="923"/>
      <c r="E1652" s="923"/>
    </row>
    <row r="1653" spans="1:5" x14ac:dyDescent="0.25">
      <c r="A1653" s="922"/>
      <c r="B1653" s="923"/>
      <c r="C1653" s="923"/>
      <c r="D1653" s="923"/>
      <c r="E1653" s="923"/>
    </row>
    <row r="1654" spans="1:5" x14ac:dyDescent="0.25">
      <c r="A1654" s="922"/>
      <c r="B1654" s="923"/>
      <c r="C1654" s="923"/>
      <c r="D1654" s="923"/>
      <c r="E1654" s="923"/>
    </row>
    <row r="1655" spans="1:5" x14ac:dyDescent="0.25">
      <c r="A1655" s="922"/>
      <c r="B1655" s="923"/>
      <c r="C1655" s="923"/>
      <c r="D1655" s="923"/>
      <c r="E1655" s="923"/>
    </row>
    <row r="1656" spans="1:5" x14ac:dyDescent="0.25">
      <c r="A1656" s="922"/>
      <c r="B1656" s="923"/>
      <c r="C1656" s="923"/>
      <c r="D1656" s="923"/>
      <c r="E1656" s="923"/>
    </row>
    <row r="1657" spans="1:5" x14ac:dyDescent="0.25">
      <c r="A1657" s="922"/>
      <c r="B1657" s="923"/>
      <c r="C1657" s="923"/>
      <c r="D1657" s="923"/>
      <c r="E1657" s="923"/>
    </row>
    <row r="1658" spans="1:5" x14ac:dyDescent="0.25">
      <c r="A1658" s="922"/>
      <c r="B1658" s="923"/>
      <c r="C1658" s="923"/>
      <c r="D1658" s="923"/>
      <c r="E1658" s="923"/>
    </row>
    <row r="1659" spans="1:5" x14ac:dyDescent="0.25">
      <c r="A1659" s="922"/>
      <c r="B1659" s="923"/>
      <c r="C1659" s="923"/>
      <c r="D1659" s="923"/>
      <c r="E1659" s="923"/>
    </row>
    <row r="1660" spans="1:5" x14ac:dyDescent="0.25">
      <c r="A1660" s="922"/>
      <c r="B1660" s="923"/>
      <c r="C1660" s="923"/>
      <c r="D1660" s="923"/>
      <c r="E1660" s="923"/>
    </row>
    <row r="1661" spans="1:5" x14ac:dyDescent="0.25">
      <c r="A1661" s="922"/>
      <c r="B1661" s="923"/>
      <c r="C1661" s="923"/>
      <c r="D1661" s="923"/>
      <c r="E1661" s="923"/>
    </row>
    <row r="1662" spans="1:5" x14ac:dyDescent="0.25">
      <c r="A1662" s="922"/>
      <c r="B1662" s="923"/>
      <c r="C1662" s="923"/>
      <c r="D1662" s="923"/>
      <c r="E1662" s="923"/>
    </row>
    <row r="1663" spans="1:5" x14ac:dyDescent="0.25">
      <c r="A1663" s="922"/>
      <c r="B1663" s="923"/>
      <c r="C1663" s="923"/>
      <c r="D1663" s="923"/>
      <c r="E1663" s="923"/>
    </row>
    <row r="1664" spans="1:5" x14ac:dyDescent="0.25">
      <c r="A1664" s="922"/>
      <c r="B1664" s="923"/>
      <c r="C1664" s="923"/>
      <c r="D1664" s="923"/>
      <c r="E1664" s="923"/>
    </row>
    <row r="1665" spans="1:5" x14ac:dyDescent="0.25">
      <c r="A1665" s="922"/>
      <c r="B1665" s="923"/>
      <c r="C1665" s="923"/>
      <c r="D1665" s="923"/>
      <c r="E1665" s="923"/>
    </row>
    <row r="1666" spans="1:5" x14ac:dyDescent="0.25">
      <c r="A1666" s="922"/>
      <c r="B1666" s="923"/>
      <c r="C1666" s="923"/>
      <c r="D1666" s="923"/>
      <c r="E1666" s="923"/>
    </row>
    <row r="1667" spans="1:5" x14ac:dyDescent="0.25">
      <c r="A1667" s="922"/>
      <c r="B1667" s="923"/>
      <c r="C1667" s="923"/>
      <c r="D1667" s="923"/>
      <c r="E1667" s="923"/>
    </row>
    <row r="1668" spans="1:5" x14ac:dyDescent="0.25">
      <c r="A1668" s="922"/>
      <c r="B1668" s="923"/>
      <c r="C1668" s="923"/>
      <c r="D1668" s="923"/>
      <c r="E1668" s="923"/>
    </row>
    <row r="1669" spans="1:5" x14ac:dyDescent="0.25">
      <c r="A1669" s="922"/>
      <c r="B1669" s="923"/>
      <c r="C1669" s="923"/>
      <c r="D1669" s="923"/>
      <c r="E1669" s="923"/>
    </row>
    <row r="1670" spans="1:5" x14ac:dyDescent="0.25">
      <c r="A1670" s="922"/>
      <c r="B1670" s="923"/>
      <c r="C1670" s="923"/>
      <c r="D1670" s="923"/>
      <c r="E1670" s="923"/>
    </row>
    <row r="1671" spans="1:5" x14ac:dyDescent="0.25">
      <c r="A1671" s="922"/>
      <c r="B1671" s="923"/>
      <c r="C1671" s="923"/>
      <c r="D1671" s="923"/>
      <c r="E1671" s="923"/>
    </row>
    <row r="1672" spans="1:5" x14ac:dyDescent="0.25">
      <c r="A1672" s="922"/>
      <c r="B1672" s="923"/>
      <c r="C1672" s="923"/>
      <c r="D1672" s="923"/>
      <c r="E1672" s="923"/>
    </row>
    <row r="1673" spans="1:5" x14ac:dyDescent="0.25">
      <c r="A1673" s="922"/>
      <c r="B1673" s="923"/>
      <c r="C1673" s="923"/>
      <c r="D1673" s="923"/>
      <c r="E1673" s="923"/>
    </row>
    <row r="1674" spans="1:5" x14ac:dyDescent="0.25">
      <c r="A1674" s="922"/>
      <c r="B1674" s="923"/>
      <c r="C1674" s="923"/>
      <c r="D1674" s="923"/>
      <c r="E1674" s="923"/>
    </row>
    <row r="1675" spans="1:5" x14ac:dyDescent="0.25">
      <c r="A1675" s="922"/>
      <c r="B1675" s="923"/>
      <c r="C1675" s="923"/>
      <c r="D1675" s="923"/>
      <c r="E1675" s="923"/>
    </row>
    <row r="1676" spans="1:5" x14ac:dyDescent="0.25">
      <c r="A1676" s="922"/>
      <c r="B1676" s="923"/>
      <c r="C1676" s="923"/>
      <c r="D1676" s="923"/>
      <c r="E1676" s="923"/>
    </row>
    <row r="1677" spans="1:5" x14ac:dyDescent="0.25">
      <c r="A1677" s="922"/>
      <c r="B1677" s="923"/>
      <c r="C1677" s="923"/>
      <c r="D1677" s="923"/>
      <c r="E1677" s="923"/>
    </row>
    <row r="1678" spans="1:5" x14ac:dyDescent="0.25">
      <c r="A1678" s="922"/>
      <c r="B1678" s="923"/>
      <c r="C1678" s="923"/>
      <c r="D1678" s="923"/>
      <c r="E1678" s="923"/>
    </row>
    <row r="1679" spans="1:5" x14ac:dyDescent="0.25">
      <c r="A1679" s="922"/>
      <c r="B1679" s="923"/>
      <c r="C1679" s="923"/>
      <c r="D1679" s="923"/>
      <c r="E1679" s="923"/>
    </row>
    <row r="1680" spans="1:5" x14ac:dyDescent="0.25">
      <c r="A1680" s="922"/>
      <c r="B1680" s="923"/>
      <c r="C1680" s="923"/>
      <c r="D1680" s="923"/>
      <c r="E1680" s="923"/>
    </row>
    <row r="1681" spans="1:5" x14ac:dyDescent="0.25">
      <c r="A1681" s="922"/>
      <c r="B1681" s="923"/>
      <c r="C1681" s="923"/>
      <c r="D1681" s="923"/>
      <c r="E1681" s="923"/>
    </row>
    <row r="1682" spans="1:5" x14ac:dyDescent="0.25">
      <c r="A1682" s="922"/>
      <c r="B1682" s="923"/>
      <c r="C1682" s="923"/>
      <c r="D1682" s="923"/>
      <c r="E1682" s="923"/>
    </row>
    <row r="1683" spans="1:5" x14ac:dyDescent="0.25">
      <c r="A1683" s="922"/>
      <c r="B1683" s="923"/>
      <c r="C1683" s="923"/>
      <c r="D1683" s="923"/>
      <c r="E1683" s="923"/>
    </row>
    <row r="1684" spans="1:5" x14ac:dyDescent="0.25">
      <c r="A1684" s="922"/>
      <c r="B1684" s="923"/>
      <c r="C1684" s="923"/>
      <c r="D1684" s="923"/>
      <c r="E1684" s="923"/>
    </row>
    <row r="1685" spans="1:5" x14ac:dyDescent="0.25">
      <c r="A1685" s="922"/>
      <c r="B1685" s="923"/>
      <c r="C1685" s="923"/>
      <c r="D1685" s="923"/>
      <c r="E1685" s="923"/>
    </row>
    <row r="1686" spans="1:5" x14ac:dyDescent="0.25">
      <c r="A1686" s="922"/>
      <c r="B1686" s="923"/>
      <c r="C1686" s="923"/>
      <c r="D1686" s="923"/>
      <c r="E1686" s="923"/>
    </row>
    <row r="1687" spans="1:5" x14ac:dyDescent="0.25">
      <c r="A1687" s="922"/>
      <c r="B1687" s="923"/>
      <c r="C1687" s="923"/>
      <c r="D1687" s="923"/>
      <c r="E1687" s="923"/>
    </row>
    <row r="1688" spans="1:5" x14ac:dyDescent="0.25">
      <c r="A1688" s="922"/>
      <c r="B1688" s="923"/>
      <c r="C1688" s="923"/>
      <c r="D1688" s="923"/>
      <c r="E1688" s="923"/>
    </row>
    <row r="1689" spans="1:5" x14ac:dyDescent="0.25">
      <c r="A1689" s="922"/>
      <c r="B1689" s="923"/>
      <c r="C1689" s="923"/>
      <c r="D1689" s="923"/>
      <c r="E1689" s="923"/>
    </row>
    <row r="1690" spans="1:5" x14ac:dyDescent="0.25">
      <c r="A1690" s="922"/>
      <c r="B1690" s="923"/>
      <c r="C1690" s="923"/>
      <c r="D1690" s="923"/>
      <c r="E1690" s="923"/>
    </row>
    <row r="1691" spans="1:5" x14ac:dyDescent="0.25">
      <c r="A1691" s="922"/>
      <c r="B1691" s="923"/>
      <c r="C1691" s="923"/>
      <c r="D1691" s="923"/>
      <c r="E1691" s="923"/>
    </row>
    <row r="1692" spans="1:5" x14ac:dyDescent="0.25">
      <c r="A1692" s="922"/>
      <c r="B1692" s="923"/>
      <c r="C1692" s="923"/>
      <c r="D1692" s="923"/>
      <c r="E1692" s="923"/>
    </row>
    <row r="1693" spans="1:5" x14ac:dyDescent="0.25">
      <c r="A1693" s="922"/>
      <c r="B1693" s="923"/>
      <c r="C1693" s="923"/>
      <c r="D1693" s="923"/>
      <c r="E1693" s="923"/>
    </row>
    <row r="1694" spans="1:5" x14ac:dyDescent="0.25">
      <c r="A1694" s="922"/>
      <c r="B1694" s="923"/>
      <c r="C1694" s="923"/>
      <c r="D1694" s="923"/>
      <c r="E1694" s="923"/>
    </row>
    <row r="1695" spans="1:5" x14ac:dyDescent="0.25">
      <c r="A1695" s="922"/>
      <c r="B1695" s="923"/>
      <c r="C1695" s="923"/>
      <c r="D1695" s="923"/>
      <c r="E1695" s="923"/>
    </row>
    <row r="1696" spans="1:5" x14ac:dyDescent="0.25">
      <c r="A1696" s="922"/>
      <c r="B1696" s="923"/>
      <c r="C1696" s="923"/>
      <c r="D1696" s="923"/>
      <c r="E1696" s="923"/>
    </row>
    <row r="1697" spans="1:5" x14ac:dyDescent="0.25">
      <c r="A1697" s="922"/>
      <c r="B1697" s="923"/>
      <c r="C1697" s="923"/>
      <c r="D1697" s="923"/>
      <c r="E1697" s="923"/>
    </row>
    <row r="1698" spans="1:5" x14ac:dyDescent="0.25">
      <c r="A1698" s="922"/>
      <c r="B1698" s="923"/>
      <c r="C1698" s="923"/>
      <c r="D1698" s="923"/>
      <c r="E1698" s="923"/>
    </row>
    <row r="1699" spans="1:5" x14ac:dyDescent="0.25">
      <c r="A1699" s="922"/>
      <c r="B1699" s="923"/>
      <c r="C1699" s="923"/>
      <c r="D1699" s="923"/>
      <c r="E1699" s="923"/>
    </row>
    <row r="1700" spans="1:5" x14ac:dyDescent="0.25">
      <c r="A1700" s="922"/>
      <c r="B1700" s="923"/>
      <c r="C1700" s="923"/>
      <c r="D1700" s="923"/>
      <c r="E1700" s="923"/>
    </row>
    <row r="1701" spans="1:5" x14ac:dyDescent="0.25">
      <c r="A1701" s="922"/>
      <c r="B1701" s="923"/>
      <c r="C1701" s="923"/>
      <c r="D1701" s="923"/>
      <c r="E1701" s="923"/>
    </row>
    <row r="1702" spans="1:5" x14ac:dyDescent="0.25">
      <c r="A1702" s="922"/>
      <c r="B1702" s="923"/>
      <c r="C1702" s="923"/>
      <c r="D1702" s="923"/>
      <c r="E1702" s="923"/>
    </row>
    <row r="1703" spans="1:5" x14ac:dyDescent="0.25">
      <c r="A1703" s="922"/>
      <c r="B1703" s="923"/>
      <c r="C1703" s="923"/>
      <c r="D1703" s="923"/>
      <c r="E1703" s="923"/>
    </row>
    <row r="1704" spans="1:5" x14ac:dyDescent="0.25">
      <c r="A1704" s="922"/>
      <c r="B1704" s="923"/>
      <c r="C1704" s="923"/>
      <c r="D1704" s="923"/>
      <c r="E1704" s="923"/>
    </row>
    <row r="1705" spans="1:5" x14ac:dyDescent="0.25">
      <c r="A1705" s="922"/>
      <c r="B1705" s="923"/>
      <c r="C1705" s="923"/>
      <c r="D1705" s="923"/>
      <c r="E1705" s="923"/>
    </row>
    <row r="1706" spans="1:5" x14ac:dyDescent="0.25">
      <c r="A1706" s="922"/>
      <c r="B1706" s="923"/>
      <c r="C1706" s="923"/>
      <c r="D1706" s="923"/>
      <c r="E1706" s="923"/>
    </row>
    <row r="1707" spans="1:5" x14ac:dyDescent="0.25">
      <c r="A1707" s="922"/>
      <c r="B1707" s="923"/>
      <c r="C1707" s="923"/>
      <c r="D1707" s="923"/>
      <c r="E1707" s="923"/>
    </row>
    <row r="1708" spans="1:5" x14ac:dyDescent="0.25">
      <c r="A1708" s="922"/>
      <c r="B1708" s="923"/>
      <c r="C1708" s="923"/>
      <c r="D1708" s="923"/>
      <c r="E1708" s="923"/>
    </row>
    <row r="1709" spans="1:5" x14ac:dyDescent="0.25">
      <c r="A1709" s="922"/>
      <c r="B1709" s="923"/>
      <c r="C1709" s="923"/>
      <c r="D1709" s="923"/>
      <c r="E1709" s="923"/>
    </row>
    <row r="1710" spans="1:5" x14ac:dyDescent="0.25">
      <c r="A1710" s="922"/>
      <c r="B1710" s="923"/>
      <c r="C1710" s="923"/>
      <c r="D1710" s="923"/>
      <c r="E1710" s="923"/>
    </row>
    <row r="1711" spans="1:5" x14ac:dyDescent="0.25">
      <c r="A1711" s="922"/>
      <c r="B1711" s="923"/>
      <c r="C1711" s="923"/>
      <c r="D1711" s="923"/>
      <c r="E1711" s="923"/>
    </row>
    <row r="1712" spans="1:5" x14ac:dyDescent="0.25">
      <c r="A1712" s="922"/>
      <c r="B1712" s="923"/>
      <c r="C1712" s="923"/>
      <c r="D1712" s="923"/>
      <c r="E1712" s="923"/>
    </row>
    <row r="1713" spans="1:5" x14ac:dyDescent="0.25">
      <c r="A1713" s="922"/>
      <c r="B1713" s="923"/>
      <c r="C1713" s="923"/>
      <c r="D1713" s="923"/>
      <c r="E1713" s="923"/>
    </row>
    <row r="1714" spans="1:5" x14ac:dyDescent="0.25">
      <c r="A1714" s="922"/>
      <c r="B1714" s="923"/>
      <c r="C1714" s="923"/>
      <c r="D1714" s="923"/>
      <c r="E1714" s="923"/>
    </row>
    <row r="1715" spans="1:5" x14ac:dyDescent="0.25">
      <c r="A1715" s="922"/>
      <c r="B1715" s="923"/>
      <c r="C1715" s="923"/>
      <c r="D1715" s="923"/>
      <c r="E1715" s="923"/>
    </row>
    <row r="1716" spans="1:5" x14ac:dyDescent="0.25">
      <c r="A1716" s="922"/>
      <c r="B1716" s="923"/>
      <c r="C1716" s="923"/>
      <c r="D1716" s="923"/>
      <c r="E1716" s="923"/>
    </row>
    <row r="1717" spans="1:5" x14ac:dyDescent="0.25">
      <c r="A1717" s="922"/>
      <c r="B1717" s="923"/>
      <c r="C1717" s="923"/>
      <c r="D1717" s="923"/>
      <c r="E1717" s="923"/>
    </row>
    <row r="1718" spans="1:5" x14ac:dyDescent="0.25">
      <c r="A1718" s="922"/>
      <c r="B1718" s="923"/>
      <c r="C1718" s="923"/>
      <c r="D1718" s="923"/>
      <c r="E1718" s="923"/>
    </row>
    <row r="1719" spans="1:5" x14ac:dyDescent="0.25">
      <c r="A1719" s="922"/>
      <c r="B1719" s="923"/>
      <c r="C1719" s="923"/>
      <c r="D1719" s="923"/>
      <c r="E1719" s="923"/>
    </row>
    <row r="1720" spans="1:5" x14ac:dyDescent="0.25">
      <c r="A1720" s="922"/>
      <c r="B1720" s="923"/>
      <c r="C1720" s="923"/>
      <c r="D1720" s="923"/>
      <c r="E1720" s="923"/>
    </row>
    <row r="1721" spans="1:5" x14ac:dyDescent="0.25">
      <c r="A1721" s="922"/>
      <c r="B1721" s="923"/>
      <c r="C1721" s="923"/>
      <c r="D1721" s="923"/>
      <c r="E1721" s="923"/>
    </row>
    <row r="1722" spans="1:5" x14ac:dyDescent="0.25">
      <c r="A1722" s="922"/>
      <c r="B1722" s="923"/>
      <c r="C1722" s="923"/>
      <c r="D1722" s="923"/>
      <c r="E1722" s="923"/>
    </row>
    <row r="1723" spans="1:5" x14ac:dyDescent="0.25">
      <c r="A1723" s="922"/>
      <c r="B1723" s="923"/>
      <c r="C1723" s="923"/>
      <c r="D1723" s="923"/>
      <c r="E1723" s="923"/>
    </row>
    <row r="1724" spans="1:5" x14ac:dyDescent="0.25">
      <c r="A1724" s="922"/>
      <c r="B1724" s="923"/>
      <c r="C1724" s="923"/>
      <c r="D1724" s="923"/>
      <c r="E1724" s="923"/>
    </row>
    <row r="1725" spans="1:5" x14ac:dyDescent="0.25">
      <c r="A1725" s="922"/>
      <c r="B1725" s="923"/>
      <c r="C1725" s="923"/>
      <c r="D1725" s="923"/>
      <c r="E1725" s="923"/>
    </row>
    <row r="1726" spans="1:5" x14ac:dyDescent="0.25">
      <c r="A1726" s="922"/>
      <c r="B1726" s="923"/>
      <c r="C1726" s="923"/>
      <c r="D1726" s="923"/>
      <c r="E1726" s="923"/>
    </row>
    <row r="1727" spans="1:5" x14ac:dyDescent="0.25">
      <c r="A1727" s="922"/>
      <c r="B1727" s="923"/>
      <c r="C1727" s="923"/>
      <c r="D1727" s="923"/>
      <c r="E1727" s="923"/>
    </row>
    <row r="1728" spans="1:5" x14ac:dyDescent="0.25">
      <c r="A1728" s="922"/>
      <c r="B1728" s="923"/>
      <c r="C1728" s="923"/>
      <c r="D1728" s="923"/>
      <c r="E1728" s="923"/>
    </row>
    <row r="1729" spans="1:5" x14ac:dyDescent="0.25">
      <c r="A1729" s="922"/>
      <c r="B1729" s="923"/>
      <c r="C1729" s="923"/>
      <c r="D1729" s="923"/>
      <c r="E1729" s="923"/>
    </row>
    <row r="1730" spans="1:5" x14ac:dyDescent="0.25">
      <c r="A1730" s="922"/>
      <c r="B1730" s="923"/>
      <c r="C1730" s="923"/>
      <c r="D1730" s="923"/>
      <c r="E1730" s="923"/>
    </row>
    <row r="1731" spans="1:5" x14ac:dyDescent="0.25">
      <c r="A1731" s="922"/>
      <c r="B1731" s="923"/>
      <c r="C1731" s="923"/>
      <c r="D1731" s="923"/>
      <c r="E1731" s="923"/>
    </row>
    <row r="1732" spans="1:5" x14ac:dyDescent="0.25">
      <c r="A1732" s="922"/>
      <c r="B1732" s="923"/>
      <c r="C1732" s="923"/>
      <c r="D1732" s="923"/>
      <c r="E1732" s="923"/>
    </row>
    <row r="1733" spans="1:5" x14ac:dyDescent="0.25">
      <c r="A1733" s="922"/>
      <c r="B1733" s="923"/>
      <c r="C1733" s="923"/>
      <c r="D1733" s="923"/>
      <c r="E1733" s="923"/>
    </row>
    <row r="1734" spans="1:5" x14ac:dyDescent="0.25">
      <c r="A1734" s="922"/>
      <c r="B1734" s="923"/>
      <c r="C1734" s="923"/>
      <c r="D1734" s="923"/>
      <c r="E1734" s="923"/>
    </row>
    <row r="1735" spans="1:5" x14ac:dyDescent="0.25">
      <c r="A1735" s="922"/>
      <c r="B1735" s="923"/>
      <c r="C1735" s="923"/>
      <c r="D1735" s="923"/>
      <c r="E1735" s="923"/>
    </row>
    <row r="1736" spans="1:5" x14ac:dyDescent="0.25">
      <c r="A1736" s="922"/>
      <c r="B1736" s="923"/>
      <c r="C1736" s="923"/>
      <c r="D1736" s="923"/>
      <c r="E1736" s="923"/>
    </row>
    <row r="1737" spans="1:5" x14ac:dyDescent="0.25">
      <c r="A1737" s="922"/>
      <c r="B1737" s="923"/>
      <c r="C1737" s="923"/>
      <c r="D1737" s="923"/>
      <c r="E1737" s="923"/>
    </row>
    <row r="1738" spans="1:5" x14ac:dyDescent="0.25">
      <c r="A1738" s="922"/>
      <c r="B1738" s="923"/>
      <c r="C1738" s="923"/>
      <c r="D1738" s="923"/>
      <c r="E1738" s="923"/>
    </row>
    <row r="1739" spans="1:5" x14ac:dyDescent="0.25">
      <c r="A1739" s="922"/>
      <c r="B1739" s="923"/>
      <c r="C1739" s="923"/>
      <c r="D1739" s="923"/>
      <c r="E1739" s="923"/>
    </row>
    <row r="1740" spans="1:5" x14ac:dyDescent="0.25">
      <c r="A1740" s="922"/>
      <c r="B1740" s="923"/>
      <c r="C1740" s="923"/>
      <c r="D1740" s="923"/>
      <c r="E1740" s="923"/>
    </row>
    <row r="1741" spans="1:5" x14ac:dyDescent="0.25">
      <c r="A1741" s="922"/>
      <c r="B1741" s="923"/>
      <c r="C1741" s="923"/>
      <c r="D1741" s="923"/>
      <c r="E1741" s="923"/>
    </row>
    <row r="1742" spans="1:5" x14ac:dyDescent="0.25">
      <c r="A1742" s="922"/>
      <c r="B1742" s="923"/>
      <c r="C1742" s="923"/>
      <c r="D1742" s="923"/>
      <c r="E1742" s="923"/>
    </row>
    <row r="1743" spans="1:5" x14ac:dyDescent="0.25">
      <c r="A1743" s="922"/>
      <c r="B1743" s="923"/>
      <c r="C1743" s="923"/>
      <c r="D1743" s="923"/>
      <c r="E1743" s="923"/>
    </row>
    <row r="1744" spans="1:5" x14ac:dyDescent="0.25">
      <c r="A1744" s="922"/>
      <c r="B1744" s="923"/>
      <c r="C1744" s="923"/>
      <c r="D1744" s="923"/>
      <c r="E1744" s="923"/>
    </row>
    <row r="1745" spans="1:5" x14ac:dyDescent="0.25">
      <c r="A1745" s="922"/>
      <c r="B1745" s="923"/>
      <c r="C1745" s="923"/>
      <c r="D1745" s="923"/>
      <c r="E1745" s="923"/>
    </row>
    <row r="1746" spans="1:5" x14ac:dyDescent="0.25">
      <c r="A1746" s="922"/>
      <c r="B1746" s="923"/>
      <c r="C1746" s="923"/>
      <c r="D1746" s="923"/>
      <c r="E1746" s="923"/>
    </row>
    <row r="1747" spans="1:5" x14ac:dyDescent="0.25">
      <c r="A1747" s="922"/>
      <c r="B1747" s="923"/>
      <c r="C1747" s="923"/>
      <c r="D1747" s="923"/>
      <c r="E1747" s="923"/>
    </row>
    <row r="1748" spans="1:5" x14ac:dyDescent="0.25">
      <c r="A1748" s="922"/>
      <c r="B1748" s="923"/>
      <c r="C1748" s="923"/>
      <c r="D1748" s="923"/>
      <c r="E1748" s="923"/>
    </row>
    <row r="1749" spans="1:5" x14ac:dyDescent="0.25">
      <c r="A1749" s="922"/>
      <c r="B1749" s="923"/>
      <c r="C1749" s="923"/>
      <c r="D1749" s="923"/>
      <c r="E1749" s="923"/>
    </row>
    <row r="1750" spans="1:5" x14ac:dyDescent="0.25">
      <c r="A1750" s="922"/>
      <c r="B1750" s="923"/>
      <c r="C1750" s="923"/>
      <c r="D1750" s="923"/>
      <c r="E1750" s="923"/>
    </row>
    <row r="1751" spans="1:5" x14ac:dyDescent="0.25">
      <c r="A1751" s="922"/>
      <c r="B1751" s="923"/>
      <c r="C1751" s="923"/>
      <c r="D1751" s="923"/>
      <c r="E1751" s="923"/>
    </row>
    <row r="1752" spans="1:5" x14ac:dyDescent="0.25">
      <c r="A1752" s="922"/>
      <c r="B1752" s="923"/>
      <c r="C1752" s="923"/>
      <c r="D1752" s="923"/>
      <c r="E1752" s="923"/>
    </row>
    <row r="1753" spans="1:5" x14ac:dyDescent="0.25">
      <c r="A1753" s="922"/>
      <c r="B1753" s="923"/>
      <c r="C1753" s="923"/>
      <c r="D1753" s="923"/>
      <c r="E1753" s="923"/>
    </row>
    <row r="1754" spans="1:5" x14ac:dyDescent="0.25">
      <c r="A1754" s="922"/>
      <c r="B1754" s="923"/>
      <c r="C1754" s="923"/>
      <c r="D1754" s="923"/>
      <c r="E1754" s="923"/>
    </row>
    <row r="1755" spans="1:5" x14ac:dyDescent="0.25">
      <c r="A1755" s="922"/>
      <c r="B1755" s="923"/>
      <c r="C1755" s="923"/>
      <c r="D1755" s="923"/>
      <c r="E1755" s="923"/>
    </row>
    <row r="1756" spans="1:5" x14ac:dyDescent="0.25">
      <c r="A1756" s="922"/>
      <c r="B1756" s="923"/>
      <c r="C1756" s="923"/>
      <c r="D1756" s="923"/>
      <c r="E1756" s="923"/>
    </row>
    <row r="1757" spans="1:5" x14ac:dyDescent="0.25">
      <c r="A1757" s="922"/>
      <c r="B1757" s="923"/>
      <c r="C1757" s="923"/>
      <c r="D1757" s="923"/>
      <c r="E1757" s="923"/>
    </row>
    <row r="1758" spans="1:5" x14ac:dyDescent="0.25">
      <c r="A1758" s="922"/>
      <c r="B1758" s="923"/>
      <c r="C1758" s="923"/>
      <c r="D1758" s="923"/>
      <c r="E1758" s="923"/>
    </row>
    <row r="1759" spans="1:5" x14ac:dyDescent="0.25">
      <c r="A1759" s="922"/>
      <c r="B1759" s="923"/>
      <c r="C1759" s="923"/>
      <c r="D1759" s="923"/>
      <c r="E1759" s="923"/>
    </row>
    <row r="1760" spans="1:5" x14ac:dyDescent="0.25">
      <c r="A1760" s="922"/>
      <c r="B1760" s="923"/>
      <c r="C1760" s="923"/>
      <c r="D1760" s="923"/>
      <c r="E1760" s="923"/>
    </row>
    <row r="1761" spans="1:5" x14ac:dyDescent="0.25">
      <c r="A1761" s="922"/>
      <c r="B1761" s="923"/>
      <c r="C1761" s="923"/>
      <c r="D1761" s="923"/>
      <c r="E1761" s="923"/>
    </row>
    <row r="1762" spans="1:5" x14ac:dyDescent="0.25">
      <c r="A1762" s="922"/>
      <c r="B1762" s="923"/>
      <c r="C1762" s="923"/>
      <c r="D1762" s="923"/>
      <c r="E1762" s="923"/>
    </row>
    <row r="1763" spans="1:5" x14ac:dyDescent="0.25">
      <c r="A1763" s="922"/>
      <c r="B1763" s="923"/>
      <c r="C1763" s="923"/>
      <c r="D1763" s="923"/>
      <c r="E1763" s="923"/>
    </row>
    <row r="1764" spans="1:5" x14ac:dyDescent="0.25">
      <c r="A1764" s="922"/>
      <c r="B1764" s="923"/>
      <c r="C1764" s="923"/>
      <c r="D1764" s="923"/>
      <c r="E1764" s="923"/>
    </row>
    <row r="1765" spans="1:5" x14ac:dyDescent="0.25">
      <c r="A1765" s="922"/>
      <c r="B1765" s="923"/>
      <c r="C1765" s="923"/>
      <c r="D1765" s="923"/>
      <c r="E1765" s="923"/>
    </row>
    <row r="1766" spans="1:5" x14ac:dyDescent="0.25">
      <c r="A1766" s="922"/>
      <c r="B1766" s="923"/>
      <c r="C1766" s="923"/>
      <c r="D1766" s="923"/>
      <c r="E1766" s="923"/>
    </row>
    <row r="1767" spans="1:5" x14ac:dyDescent="0.25">
      <c r="A1767" s="922"/>
      <c r="B1767" s="923"/>
      <c r="C1767" s="923"/>
      <c r="D1767" s="923"/>
      <c r="E1767" s="923"/>
    </row>
    <row r="1768" spans="1:5" x14ac:dyDescent="0.25">
      <c r="A1768" s="922"/>
      <c r="B1768" s="923"/>
      <c r="C1768" s="923"/>
      <c r="D1768" s="923"/>
      <c r="E1768" s="923"/>
    </row>
    <row r="1769" spans="1:5" x14ac:dyDescent="0.25">
      <c r="A1769" s="922"/>
      <c r="B1769" s="923"/>
      <c r="C1769" s="923"/>
      <c r="D1769" s="923"/>
      <c r="E1769" s="923"/>
    </row>
    <row r="1770" spans="1:5" x14ac:dyDescent="0.25">
      <c r="A1770" s="922"/>
      <c r="B1770" s="923"/>
      <c r="C1770" s="923"/>
      <c r="D1770" s="923"/>
      <c r="E1770" s="923"/>
    </row>
    <row r="1771" spans="1:5" x14ac:dyDescent="0.25">
      <c r="A1771" s="922"/>
      <c r="B1771" s="923"/>
      <c r="C1771" s="923"/>
      <c r="D1771" s="923"/>
      <c r="E1771" s="923"/>
    </row>
    <row r="1772" spans="1:5" x14ac:dyDescent="0.25">
      <c r="A1772" s="922"/>
      <c r="B1772" s="923"/>
      <c r="C1772" s="923"/>
      <c r="D1772" s="923"/>
      <c r="E1772" s="923"/>
    </row>
    <row r="1773" spans="1:5" x14ac:dyDescent="0.25">
      <c r="A1773" s="922"/>
      <c r="B1773" s="923"/>
      <c r="C1773" s="923"/>
      <c r="D1773" s="923"/>
      <c r="E1773" s="923"/>
    </row>
    <row r="1774" spans="1:5" x14ac:dyDescent="0.25">
      <c r="A1774" s="922"/>
      <c r="B1774" s="923"/>
      <c r="C1774" s="923"/>
      <c r="D1774" s="923"/>
      <c r="E1774" s="923"/>
    </row>
    <row r="1775" spans="1:5" x14ac:dyDescent="0.25">
      <c r="A1775" s="922"/>
      <c r="B1775" s="923"/>
      <c r="C1775" s="923"/>
      <c r="D1775" s="923"/>
      <c r="E1775" s="923"/>
    </row>
    <row r="1776" spans="1:5" x14ac:dyDescent="0.25">
      <c r="A1776" s="922"/>
      <c r="B1776" s="923"/>
      <c r="C1776" s="923"/>
      <c r="D1776" s="923"/>
      <c r="E1776" s="923"/>
    </row>
    <row r="1777" spans="1:5" x14ac:dyDescent="0.25">
      <c r="A1777" s="922"/>
      <c r="B1777" s="923"/>
      <c r="C1777" s="923"/>
      <c r="D1777" s="923"/>
      <c r="E1777" s="923"/>
    </row>
    <row r="1778" spans="1:5" x14ac:dyDescent="0.25">
      <c r="A1778" s="922"/>
      <c r="B1778" s="923"/>
      <c r="C1778" s="923"/>
      <c r="D1778" s="923"/>
      <c r="E1778" s="923"/>
    </row>
    <row r="1779" spans="1:5" x14ac:dyDescent="0.25">
      <c r="A1779" s="922"/>
      <c r="B1779" s="923"/>
      <c r="C1779" s="923"/>
      <c r="D1779" s="923"/>
      <c r="E1779" s="923"/>
    </row>
    <row r="1780" spans="1:5" x14ac:dyDescent="0.25">
      <c r="A1780" s="922"/>
      <c r="B1780" s="923"/>
      <c r="C1780" s="923"/>
      <c r="D1780" s="923"/>
      <c r="E1780" s="923"/>
    </row>
    <row r="1781" spans="1:5" x14ac:dyDescent="0.25">
      <c r="A1781" s="922"/>
      <c r="B1781" s="923"/>
      <c r="C1781" s="923"/>
      <c r="D1781" s="923"/>
      <c r="E1781" s="923"/>
    </row>
    <row r="1782" spans="1:5" x14ac:dyDescent="0.25">
      <c r="A1782" s="922"/>
      <c r="B1782" s="923"/>
      <c r="C1782" s="923"/>
      <c r="D1782" s="923"/>
      <c r="E1782" s="923"/>
    </row>
    <row r="1783" spans="1:5" x14ac:dyDescent="0.25">
      <c r="A1783" s="922"/>
      <c r="B1783" s="923"/>
      <c r="C1783" s="923"/>
      <c r="D1783" s="923"/>
      <c r="E1783" s="923"/>
    </row>
    <row r="1784" spans="1:5" x14ac:dyDescent="0.25">
      <c r="A1784" s="922"/>
      <c r="B1784" s="923"/>
      <c r="C1784" s="923"/>
      <c r="D1784" s="923"/>
      <c r="E1784" s="923"/>
    </row>
    <row r="1785" spans="1:5" x14ac:dyDescent="0.25">
      <c r="A1785" s="922"/>
      <c r="B1785" s="923"/>
      <c r="C1785" s="923"/>
      <c r="D1785" s="923"/>
      <c r="E1785" s="923"/>
    </row>
    <row r="1786" spans="1:5" x14ac:dyDescent="0.25">
      <c r="A1786" s="922"/>
      <c r="B1786" s="923"/>
      <c r="C1786" s="923"/>
      <c r="D1786" s="923"/>
      <c r="E1786" s="923"/>
    </row>
    <row r="1787" spans="1:5" x14ac:dyDescent="0.25">
      <c r="A1787" s="922"/>
      <c r="B1787" s="923"/>
      <c r="C1787" s="923"/>
      <c r="D1787" s="923"/>
      <c r="E1787" s="923"/>
    </row>
    <row r="1788" spans="1:5" x14ac:dyDescent="0.25">
      <c r="A1788" s="922"/>
      <c r="B1788" s="923"/>
      <c r="C1788" s="923"/>
      <c r="D1788" s="923"/>
      <c r="E1788" s="923"/>
    </row>
    <row r="1789" spans="1:5" x14ac:dyDescent="0.25">
      <c r="A1789" s="922"/>
      <c r="B1789" s="923"/>
      <c r="C1789" s="923"/>
      <c r="D1789" s="923"/>
      <c r="E1789" s="923"/>
    </row>
    <row r="1790" spans="1:5" x14ac:dyDescent="0.25">
      <c r="A1790" s="922"/>
      <c r="B1790" s="923"/>
      <c r="C1790" s="923"/>
      <c r="D1790" s="923"/>
      <c r="E1790" s="923"/>
    </row>
    <row r="1791" spans="1:5" x14ac:dyDescent="0.25">
      <c r="A1791" s="922"/>
      <c r="B1791" s="923"/>
      <c r="C1791" s="923"/>
      <c r="D1791" s="923"/>
      <c r="E1791" s="923"/>
    </row>
    <row r="1792" spans="1:5" x14ac:dyDescent="0.25">
      <c r="A1792" s="922"/>
      <c r="B1792" s="923"/>
      <c r="C1792" s="923"/>
      <c r="D1792" s="923"/>
      <c r="E1792" s="923"/>
    </row>
    <row r="1793" spans="1:5" x14ac:dyDescent="0.25">
      <c r="A1793" s="922"/>
      <c r="B1793" s="923"/>
      <c r="C1793" s="923"/>
      <c r="D1793" s="923"/>
      <c r="E1793" s="923"/>
    </row>
    <row r="1794" spans="1:5" x14ac:dyDescent="0.25">
      <c r="A1794" s="922"/>
      <c r="B1794" s="923"/>
      <c r="C1794" s="923"/>
      <c r="D1794" s="923"/>
      <c r="E1794" s="923"/>
    </row>
    <row r="1795" spans="1:5" x14ac:dyDescent="0.25">
      <c r="A1795" s="922"/>
      <c r="B1795" s="923"/>
      <c r="C1795" s="923"/>
      <c r="D1795" s="923"/>
      <c r="E1795" s="923"/>
    </row>
    <row r="1796" spans="1:5" x14ac:dyDescent="0.25">
      <c r="A1796" s="922"/>
      <c r="B1796" s="923"/>
      <c r="C1796" s="923"/>
      <c r="D1796" s="923"/>
      <c r="E1796" s="923"/>
    </row>
    <row r="1797" spans="1:5" x14ac:dyDescent="0.25">
      <c r="A1797" s="922"/>
      <c r="B1797" s="923"/>
      <c r="C1797" s="923"/>
      <c r="D1797" s="923"/>
      <c r="E1797" s="923"/>
    </row>
    <row r="1798" spans="1:5" x14ac:dyDescent="0.25">
      <c r="A1798" s="922"/>
      <c r="B1798" s="923"/>
      <c r="C1798" s="923"/>
      <c r="D1798" s="923"/>
      <c r="E1798" s="923"/>
    </row>
    <row r="1799" spans="1:5" x14ac:dyDescent="0.25">
      <c r="A1799" s="922"/>
      <c r="B1799" s="923"/>
      <c r="C1799" s="923"/>
      <c r="D1799" s="923"/>
      <c r="E1799" s="923"/>
    </row>
    <row r="1800" spans="1:5" x14ac:dyDescent="0.25">
      <c r="A1800" s="922"/>
      <c r="B1800" s="923"/>
      <c r="C1800" s="923"/>
      <c r="D1800" s="923"/>
      <c r="E1800" s="923"/>
    </row>
    <row r="1801" spans="1:5" x14ac:dyDescent="0.25">
      <c r="A1801" s="922"/>
      <c r="B1801" s="923"/>
      <c r="C1801" s="923"/>
      <c r="D1801" s="923"/>
      <c r="E1801" s="923"/>
    </row>
    <row r="1802" spans="1:5" x14ac:dyDescent="0.25">
      <c r="A1802" s="922"/>
      <c r="B1802" s="923"/>
      <c r="C1802" s="923"/>
      <c r="D1802" s="923"/>
      <c r="E1802" s="923"/>
    </row>
    <row r="1803" spans="1:5" x14ac:dyDescent="0.25">
      <c r="A1803" s="922"/>
      <c r="B1803" s="923"/>
      <c r="C1803" s="923"/>
      <c r="D1803" s="923"/>
      <c r="E1803" s="923"/>
    </row>
    <row r="1804" spans="1:5" x14ac:dyDescent="0.25">
      <c r="A1804" s="922"/>
      <c r="B1804" s="923"/>
      <c r="C1804" s="923"/>
      <c r="D1804" s="923"/>
      <c r="E1804" s="923"/>
    </row>
    <row r="1805" spans="1:5" x14ac:dyDescent="0.25">
      <c r="A1805" s="922"/>
      <c r="B1805" s="923"/>
      <c r="C1805" s="923"/>
      <c r="D1805" s="923"/>
      <c r="E1805" s="923"/>
    </row>
    <row r="1806" spans="1:5" x14ac:dyDescent="0.25">
      <c r="A1806" s="922"/>
      <c r="B1806" s="923"/>
      <c r="C1806" s="923"/>
      <c r="D1806" s="923"/>
      <c r="E1806" s="923"/>
    </row>
    <row r="1807" spans="1:5" x14ac:dyDescent="0.25">
      <c r="A1807" s="922"/>
      <c r="B1807" s="923"/>
      <c r="C1807" s="923"/>
      <c r="D1807" s="923"/>
      <c r="E1807" s="923"/>
    </row>
    <row r="1808" spans="1:5" x14ac:dyDescent="0.25">
      <c r="A1808" s="922"/>
      <c r="B1808" s="923"/>
      <c r="C1808" s="923"/>
      <c r="D1808" s="923"/>
      <c r="E1808" s="923"/>
    </row>
    <row r="1809" spans="1:5" x14ac:dyDescent="0.25">
      <c r="A1809" s="922"/>
      <c r="B1809" s="923"/>
      <c r="C1809" s="923"/>
      <c r="D1809" s="923"/>
      <c r="E1809" s="923"/>
    </row>
    <row r="1810" spans="1:5" x14ac:dyDescent="0.25">
      <c r="A1810" s="922"/>
      <c r="B1810" s="923"/>
      <c r="C1810" s="923"/>
      <c r="D1810" s="923"/>
      <c r="E1810" s="923"/>
    </row>
    <row r="1811" spans="1:5" x14ac:dyDescent="0.25">
      <c r="A1811" s="922"/>
      <c r="B1811" s="923"/>
      <c r="C1811" s="923"/>
      <c r="D1811" s="923"/>
      <c r="E1811" s="923"/>
    </row>
    <row r="1812" spans="1:5" x14ac:dyDescent="0.25">
      <c r="A1812" s="922"/>
      <c r="B1812" s="923"/>
      <c r="C1812" s="923"/>
      <c r="D1812" s="923"/>
      <c r="E1812" s="923"/>
    </row>
    <row r="1813" spans="1:5" x14ac:dyDescent="0.25">
      <c r="A1813" s="922"/>
      <c r="B1813" s="923"/>
      <c r="C1813" s="923"/>
      <c r="D1813" s="923"/>
      <c r="E1813" s="923"/>
    </row>
    <row r="1814" spans="1:5" x14ac:dyDescent="0.25">
      <c r="A1814" s="922"/>
      <c r="B1814" s="923"/>
      <c r="C1814" s="923"/>
      <c r="D1814" s="923"/>
      <c r="E1814" s="923"/>
    </row>
    <row r="1815" spans="1:5" x14ac:dyDescent="0.25">
      <c r="A1815" s="922"/>
      <c r="B1815" s="923"/>
      <c r="C1815" s="923"/>
      <c r="D1815" s="923"/>
      <c r="E1815" s="923"/>
    </row>
    <row r="1816" spans="1:5" x14ac:dyDescent="0.25">
      <c r="A1816" s="922"/>
      <c r="B1816" s="923"/>
      <c r="C1816" s="923"/>
      <c r="D1816" s="923"/>
      <c r="E1816" s="923"/>
    </row>
    <row r="1817" spans="1:5" x14ac:dyDescent="0.25">
      <c r="A1817" s="922"/>
      <c r="B1817" s="923"/>
      <c r="C1817" s="923"/>
      <c r="D1817" s="923"/>
      <c r="E1817" s="923"/>
    </row>
    <row r="1818" spans="1:5" x14ac:dyDescent="0.25">
      <c r="A1818" s="922"/>
      <c r="B1818" s="923"/>
      <c r="C1818" s="923"/>
      <c r="D1818" s="923"/>
      <c r="E1818" s="923"/>
    </row>
    <row r="1819" spans="1:5" x14ac:dyDescent="0.25">
      <c r="A1819" s="922"/>
      <c r="B1819" s="923"/>
      <c r="C1819" s="923"/>
      <c r="D1819" s="923"/>
      <c r="E1819" s="923"/>
    </row>
    <row r="1820" spans="1:5" x14ac:dyDescent="0.25">
      <c r="A1820" s="922"/>
      <c r="B1820" s="923"/>
      <c r="C1820" s="923"/>
      <c r="D1820" s="923"/>
      <c r="E1820" s="923"/>
    </row>
    <row r="1821" spans="1:5" x14ac:dyDescent="0.25">
      <c r="A1821" s="922"/>
      <c r="B1821" s="923"/>
      <c r="C1821" s="923"/>
      <c r="D1821" s="923"/>
      <c r="E1821" s="923"/>
    </row>
    <row r="1822" spans="1:5" x14ac:dyDescent="0.25">
      <c r="A1822" s="922"/>
      <c r="B1822" s="923"/>
      <c r="C1822" s="923"/>
      <c r="D1822" s="923"/>
      <c r="E1822" s="923"/>
    </row>
    <row r="1823" spans="1:5" x14ac:dyDescent="0.25">
      <c r="A1823" s="922"/>
      <c r="B1823" s="923"/>
      <c r="C1823" s="923"/>
      <c r="D1823" s="923"/>
      <c r="E1823" s="923"/>
    </row>
    <row r="1824" spans="1:5" x14ac:dyDescent="0.25">
      <c r="A1824" s="922"/>
      <c r="B1824" s="923"/>
      <c r="C1824" s="923"/>
      <c r="D1824" s="923"/>
      <c r="E1824" s="923"/>
    </row>
    <row r="1825" spans="1:5" x14ac:dyDescent="0.25">
      <c r="A1825" s="922"/>
      <c r="B1825" s="923"/>
      <c r="C1825" s="923"/>
      <c r="D1825" s="923"/>
      <c r="E1825" s="923"/>
    </row>
    <row r="1826" spans="1:5" x14ac:dyDescent="0.25">
      <c r="A1826" s="922"/>
      <c r="B1826" s="923"/>
      <c r="C1826" s="923"/>
      <c r="D1826" s="923"/>
      <c r="E1826" s="923"/>
    </row>
    <row r="1827" spans="1:5" x14ac:dyDescent="0.25">
      <c r="A1827" s="922"/>
      <c r="B1827" s="923"/>
      <c r="C1827" s="923"/>
      <c r="D1827" s="923"/>
      <c r="E1827" s="923"/>
    </row>
    <row r="1828" spans="1:5" x14ac:dyDescent="0.25">
      <c r="A1828" s="922"/>
      <c r="B1828" s="923"/>
      <c r="C1828" s="923"/>
      <c r="D1828" s="923"/>
      <c r="E1828" s="923"/>
    </row>
    <row r="1829" spans="1:5" x14ac:dyDescent="0.25">
      <c r="A1829" s="922"/>
      <c r="B1829" s="923"/>
      <c r="C1829" s="923"/>
      <c r="D1829" s="923"/>
      <c r="E1829" s="923"/>
    </row>
    <row r="1830" spans="1:5" x14ac:dyDescent="0.25">
      <c r="A1830" s="922"/>
      <c r="B1830" s="923"/>
      <c r="C1830" s="923"/>
      <c r="D1830" s="923"/>
      <c r="E1830" s="923"/>
    </row>
    <row r="1831" spans="1:5" x14ac:dyDescent="0.25">
      <c r="A1831" s="922"/>
      <c r="B1831" s="923"/>
      <c r="C1831" s="923"/>
      <c r="D1831" s="923"/>
      <c r="E1831" s="923"/>
    </row>
    <row r="1832" spans="1:5" x14ac:dyDescent="0.25">
      <c r="A1832" s="922"/>
      <c r="B1832" s="923"/>
      <c r="C1832" s="923"/>
      <c r="D1832" s="923"/>
      <c r="E1832" s="923"/>
    </row>
    <row r="1833" spans="1:5" x14ac:dyDescent="0.25">
      <c r="A1833" s="922"/>
      <c r="B1833" s="923"/>
      <c r="C1833" s="923"/>
      <c r="D1833" s="923"/>
      <c r="E1833" s="923"/>
    </row>
    <row r="1834" spans="1:5" x14ac:dyDescent="0.25">
      <c r="A1834" s="922"/>
      <c r="B1834" s="923"/>
      <c r="C1834" s="923"/>
      <c r="D1834" s="923"/>
      <c r="E1834" s="923"/>
    </row>
    <row r="1835" spans="1:5" x14ac:dyDescent="0.25">
      <c r="A1835" s="922"/>
      <c r="B1835" s="923"/>
      <c r="C1835" s="923"/>
      <c r="D1835" s="923"/>
      <c r="E1835" s="923"/>
    </row>
    <row r="1836" spans="1:5" x14ac:dyDescent="0.25">
      <c r="A1836" s="922"/>
      <c r="B1836" s="923"/>
      <c r="C1836" s="923"/>
      <c r="D1836" s="923"/>
      <c r="E1836" s="923"/>
    </row>
    <row r="1837" spans="1:5" x14ac:dyDescent="0.25">
      <c r="A1837" s="922"/>
      <c r="B1837" s="923"/>
      <c r="C1837" s="923"/>
      <c r="D1837" s="923"/>
      <c r="E1837" s="923"/>
    </row>
    <row r="1838" spans="1:5" x14ac:dyDescent="0.25">
      <c r="A1838" s="922"/>
      <c r="B1838" s="923"/>
      <c r="C1838" s="923"/>
      <c r="D1838" s="923"/>
      <c r="E1838" s="923"/>
    </row>
    <row r="1839" spans="1:5" x14ac:dyDescent="0.25">
      <c r="A1839" s="922"/>
      <c r="B1839" s="923"/>
      <c r="C1839" s="923"/>
      <c r="D1839" s="923"/>
      <c r="E1839" s="923"/>
    </row>
    <row r="1840" spans="1:5" x14ac:dyDescent="0.25">
      <c r="A1840" s="922"/>
      <c r="B1840" s="923"/>
      <c r="C1840" s="923"/>
      <c r="D1840" s="923"/>
      <c r="E1840" s="923"/>
    </row>
    <row r="1841" spans="1:5" x14ac:dyDescent="0.25">
      <c r="A1841" s="922"/>
      <c r="B1841" s="923"/>
      <c r="C1841" s="923"/>
      <c r="D1841" s="923"/>
      <c r="E1841" s="923"/>
    </row>
    <row r="1842" spans="1:5" x14ac:dyDescent="0.25">
      <c r="A1842" s="922"/>
      <c r="B1842" s="923"/>
      <c r="C1842" s="923"/>
      <c r="D1842" s="923"/>
      <c r="E1842" s="923"/>
    </row>
    <row r="1843" spans="1:5" x14ac:dyDescent="0.25">
      <c r="A1843" s="922"/>
      <c r="B1843" s="923"/>
      <c r="C1843" s="923"/>
      <c r="D1843" s="923"/>
      <c r="E1843" s="923"/>
    </row>
    <row r="1844" spans="1:5" x14ac:dyDescent="0.25">
      <c r="A1844" s="922"/>
      <c r="B1844" s="923"/>
      <c r="C1844" s="923"/>
      <c r="D1844" s="923"/>
      <c r="E1844" s="923"/>
    </row>
    <row r="1845" spans="1:5" x14ac:dyDescent="0.25">
      <c r="A1845" s="922"/>
      <c r="B1845" s="923"/>
      <c r="C1845" s="923"/>
      <c r="D1845" s="923"/>
      <c r="E1845" s="923"/>
    </row>
    <row r="1846" spans="1:5" x14ac:dyDescent="0.25">
      <c r="A1846" s="922"/>
      <c r="B1846" s="923"/>
      <c r="C1846" s="923"/>
      <c r="D1846" s="923"/>
      <c r="E1846" s="923"/>
    </row>
    <row r="1847" spans="1:5" x14ac:dyDescent="0.25">
      <c r="A1847" s="922"/>
      <c r="B1847" s="923"/>
      <c r="C1847" s="923"/>
      <c r="D1847" s="923"/>
      <c r="E1847" s="923"/>
    </row>
    <row r="1848" spans="1:5" x14ac:dyDescent="0.25">
      <c r="A1848" s="922"/>
      <c r="B1848" s="923"/>
      <c r="C1848" s="923"/>
      <c r="D1848" s="923"/>
      <c r="E1848" s="923"/>
    </row>
    <row r="1849" spans="1:5" x14ac:dyDescent="0.25">
      <c r="A1849" s="922"/>
      <c r="B1849" s="923"/>
      <c r="C1849" s="923"/>
      <c r="D1849" s="923"/>
      <c r="E1849" s="923"/>
    </row>
    <row r="1850" spans="1:5" x14ac:dyDescent="0.25">
      <c r="A1850" s="922"/>
      <c r="B1850" s="923"/>
      <c r="C1850" s="923"/>
      <c r="D1850" s="923"/>
      <c r="E1850" s="923"/>
    </row>
    <row r="1851" spans="1:5" x14ac:dyDescent="0.25">
      <c r="A1851" s="922"/>
      <c r="B1851" s="923"/>
      <c r="C1851" s="923"/>
      <c r="D1851" s="923"/>
      <c r="E1851" s="923"/>
    </row>
    <row r="1852" spans="1:5" x14ac:dyDescent="0.25">
      <c r="A1852" s="922"/>
      <c r="B1852" s="923"/>
      <c r="C1852" s="923"/>
      <c r="D1852" s="923"/>
      <c r="E1852" s="923"/>
    </row>
    <row r="1853" spans="1:5" x14ac:dyDescent="0.25">
      <c r="A1853" s="922"/>
      <c r="B1853" s="923"/>
      <c r="C1853" s="923"/>
      <c r="D1853" s="923"/>
      <c r="E1853" s="923"/>
    </row>
    <row r="1854" spans="1:5" x14ac:dyDescent="0.25">
      <c r="A1854" s="922"/>
      <c r="B1854" s="923"/>
      <c r="C1854" s="923"/>
      <c r="D1854" s="923"/>
      <c r="E1854" s="923"/>
    </row>
    <row r="1855" spans="1:5" x14ac:dyDescent="0.25">
      <c r="A1855" s="922"/>
      <c r="B1855" s="923"/>
      <c r="C1855" s="923"/>
      <c r="D1855" s="923"/>
      <c r="E1855" s="923"/>
    </row>
    <row r="1856" spans="1:5" x14ac:dyDescent="0.25">
      <c r="A1856" s="922"/>
      <c r="B1856" s="923"/>
      <c r="C1856" s="923"/>
      <c r="D1856" s="923"/>
      <c r="E1856" s="923"/>
    </row>
    <row r="1857" spans="1:5" x14ac:dyDescent="0.25">
      <c r="A1857" s="922"/>
      <c r="B1857" s="923"/>
      <c r="C1857" s="923"/>
      <c r="D1857" s="923"/>
      <c r="E1857" s="923"/>
    </row>
    <row r="1858" spans="1:5" x14ac:dyDescent="0.25">
      <c r="A1858" s="922"/>
      <c r="B1858" s="923"/>
      <c r="C1858" s="923"/>
      <c r="D1858" s="923"/>
      <c r="E1858" s="923"/>
    </row>
    <row r="1859" spans="1:5" x14ac:dyDescent="0.25">
      <c r="A1859" s="922"/>
      <c r="B1859" s="923"/>
      <c r="C1859" s="923"/>
      <c r="D1859" s="923"/>
      <c r="E1859" s="923"/>
    </row>
    <row r="1860" spans="1:5" x14ac:dyDescent="0.25">
      <c r="A1860" s="922"/>
      <c r="B1860" s="923"/>
      <c r="C1860" s="923"/>
      <c r="D1860" s="923"/>
      <c r="E1860" s="923"/>
    </row>
    <row r="1861" spans="1:5" x14ac:dyDescent="0.25">
      <c r="A1861" s="922"/>
      <c r="B1861" s="923"/>
      <c r="C1861" s="923"/>
      <c r="D1861" s="923"/>
      <c r="E1861" s="923"/>
    </row>
    <row r="1862" spans="1:5" x14ac:dyDescent="0.25">
      <c r="A1862" s="922"/>
      <c r="B1862" s="923"/>
      <c r="C1862" s="923"/>
      <c r="D1862" s="923"/>
      <c r="E1862" s="923"/>
    </row>
    <row r="1863" spans="1:5" x14ac:dyDescent="0.25">
      <c r="A1863" s="922"/>
      <c r="B1863" s="923"/>
      <c r="C1863" s="923"/>
      <c r="D1863" s="923"/>
      <c r="E1863" s="923"/>
    </row>
    <row r="1864" spans="1:5" x14ac:dyDescent="0.25">
      <c r="A1864" s="922"/>
      <c r="B1864" s="923"/>
      <c r="C1864" s="923"/>
      <c r="D1864" s="923"/>
      <c r="E1864" s="923"/>
    </row>
    <row r="1865" spans="1:5" x14ac:dyDescent="0.25">
      <c r="A1865" s="922"/>
      <c r="B1865" s="923"/>
      <c r="C1865" s="923"/>
      <c r="D1865" s="923"/>
      <c r="E1865" s="923"/>
    </row>
    <row r="1866" spans="1:5" x14ac:dyDescent="0.25">
      <c r="A1866" s="922"/>
      <c r="B1866" s="923"/>
      <c r="C1866" s="923"/>
      <c r="D1866" s="923"/>
      <c r="E1866" s="923"/>
    </row>
    <row r="1867" spans="1:5" x14ac:dyDescent="0.25">
      <c r="A1867" s="922"/>
      <c r="B1867" s="923"/>
      <c r="C1867" s="923"/>
      <c r="D1867" s="923"/>
      <c r="E1867" s="923"/>
    </row>
    <row r="1868" spans="1:5" x14ac:dyDescent="0.25">
      <c r="A1868" s="922"/>
      <c r="B1868" s="923"/>
      <c r="C1868" s="923"/>
      <c r="D1868" s="923"/>
      <c r="E1868" s="923"/>
    </row>
    <row r="1869" spans="1:5" x14ac:dyDescent="0.25">
      <c r="A1869" s="922"/>
      <c r="B1869" s="923"/>
      <c r="C1869" s="923"/>
      <c r="D1869" s="923"/>
      <c r="E1869" s="923"/>
    </row>
    <row r="1870" spans="1:5" x14ac:dyDescent="0.25">
      <c r="A1870" s="922"/>
      <c r="B1870" s="923"/>
      <c r="C1870" s="923"/>
      <c r="D1870" s="923"/>
      <c r="E1870" s="923"/>
    </row>
    <row r="1871" spans="1:5" x14ac:dyDescent="0.25">
      <c r="A1871" s="922"/>
      <c r="B1871" s="923"/>
      <c r="C1871" s="923"/>
      <c r="D1871" s="923"/>
      <c r="E1871" s="923"/>
    </row>
    <row r="1872" spans="1:5" x14ac:dyDescent="0.25">
      <c r="A1872" s="922"/>
      <c r="B1872" s="923"/>
      <c r="C1872" s="923"/>
      <c r="D1872" s="923"/>
      <c r="E1872" s="923"/>
    </row>
    <row r="1873" spans="1:5" x14ac:dyDescent="0.25">
      <c r="A1873" s="922"/>
      <c r="B1873" s="923"/>
      <c r="C1873" s="923"/>
      <c r="D1873" s="923"/>
      <c r="E1873" s="923"/>
    </row>
    <row r="1874" spans="1:5" x14ac:dyDescent="0.25">
      <c r="A1874" s="922"/>
      <c r="B1874" s="923"/>
      <c r="C1874" s="923"/>
      <c r="D1874" s="923"/>
      <c r="E1874" s="923"/>
    </row>
    <row r="1875" spans="1:5" x14ac:dyDescent="0.25">
      <c r="A1875" s="922"/>
      <c r="B1875" s="923"/>
      <c r="C1875" s="923"/>
      <c r="D1875" s="923"/>
      <c r="E1875" s="923"/>
    </row>
    <row r="1876" spans="1:5" x14ac:dyDescent="0.25">
      <c r="A1876" s="922"/>
      <c r="B1876" s="923"/>
      <c r="C1876" s="923"/>
      <c r="D1876" s="923"/>
      <c r="E1876" s="923"/>
    </row>
    <row r="1877" spans="1:5" x14ac:dyDescent="0.25">
      <c r="A1877" s="922"/>
      <c r="B1877" s="923"/>
      <c r="C1877" s="923"/>
      <c r="D1877" s="923"/>
      <c r="E1877" s="923"/>
    </row>
    <row r="1878" spans="1:5" x14ac:dyDescent="0.25">
      <c r="A1878" s="922"/>
      <c r="B1878" s="923"/>
      <c r="C1878" s="923"/>
      <c r="D1878" s="923"/>
      <c r="E1878" s="923"/>
    </row>
    <row r="1879" spans="1:5" x14ac:dyDescent="0.25">
      <c r="A1879" s="922"/>
      <c r="B1879" s="923"/>
      <c r="C1879" s="923"/>
      <c r="D1879" s="923"/>
      <c r="E1879" s="923"/>
    </row>
    <row r="1880" spans="1:5" x14ac:dyDescent="0.25">
      <c r="A1880" s="922"/>
      <c r="B1880" s="923"/>
      <c r="C1880" s="923"/>
      <c r="D1880" s="923"/>
      <c r="E1880" s="923"/>
    </row>
    <row r="1881" spans="1:5" x14ac:dyDescent="0.25">
      <c r="A1881" s="922"/>
      <c r="B1881" s="923"/>
      <c r="C1881" s="923"/>
      <c r="D1881" s="923"/>
      <c r="E1881" s="923"/>
    </row>
    <row r="1882" spans="1:5" x14ac:dyDescent="0.25">
      <c r="A1882" s="922"/>
      <c r="B1882" s="923"/>
      <c r="C1882" s="923"/>
      <c r="D1882" s="923"/>
      <c r="E1882" s="923"/>
    </row>
    <row r="1883" spans="1:5" x14ac:dyDescent="0.25">
      <c r="A1883" s="922"/>
      <c r="B1883" s="923"/>
      <c r="C1883" s="923"/>
      <c r="D1883" s="923"/>
      <c r="E1883" s="923"/>
    </row>
    <row r="1884" spans="1:5" x14ac:dyDescent="0.25">
      <c r="A1884" s="922"/>
      <c r="B1884" s="923"/>
      <c r="C1884" s="923"/>
      <c r="D1884" s="923"/>
      <c r="E1884" s="923"/>
    </row>
    <row r="1885" spans="1:5" x14ac:dyDescent="0.25">
      <c r="A1885" s="922"/>
      <c r="B1885" s="923"/>
      <c r="C1885" s="923"/>
      <c r="D1885" s="923"/>
      <c r="E1885" s="923"/>
    </row>
    <row r="1886" spans="1:5" x14ac:dyDescent="0.25">
      <c r="A1886" s="922"/>
      <c r="B1886" s="923"/>
      <c r="C1886" s="923"/>
      <c r="D1886" s="923"/>
      <c r="E1886" s="923"/>
    </row>
    <row r="1887" spans="1:5" x14ac:dyDescent="0.25">
      <c r="A1887" s="922"/>
      <c r="B1887" s="923"/>
      <c r="C1887" s="923"/>
      <c r="D1887" s="923"/>
      <c r="E1887" s="923"/>
    </row>
    <row r="1888" spans="1:5" x14ac:dyDescent="0.25">
      <c r="A1888" s="922"/>
      <c r="B1888" s="923"/>
      <c r="C1888" s="923"/>
      <c r="D1888" s="923"/>
      <c r="E1888" s="923"/>
    </row>
    <row r="1889" spans="1:5" x14ac:dyDescent="0.25">
      <c r="A1889" s="922"/>
      <c r="B1889" s="923"/>
      <c r="C1889" s="923"/>
      <c r="D1889" s="923"/>
      <c r="E1889" s="923"/>
    </row>
    <row r="1890" spans="1:5" x14ac:dyDescent="0.25">
      <c r="A1890" s="922"/>
      <c r="B1890" s="923"/>
      <c r="C1890" s="923"/>
      <c r="D1890" s="923"/>
      <c r="E1890" s="923"/>
    </row>
    <row r="1891" spans="1:5" x14ac:dyDescent="0.25">
      <c r="A1891" s="922"/>
      <c r="B1891" s="923"/>
      <c r="C1891" s="923"/>
      <c r="D1891" s="923"/>
      <c r="E1891" s="923"/>
    </row>
    <row r="1892" spans="1:5" x14ac:dyDescent="0.25">
      <c r="A1892" s="922"/>
      <c r="B1892" s="923"/>
      <c r="C1892" s="923"/>
      <c r="D1892" s="923"/>
      <c r="E1892" s="923"/>
    </row>
    <row r="1893" spans="1:5" x14ac:dyDescent="0.25">
      <c r="A1893" s="922"/>
      <c r="B1893" s="923"/>
      <c r="C1893" s="923"/>
      <c r="D1893" s="923"/>
      <c r="E1893" s="923"/>
    </row>
    <row r="1894" spans="1:5" x14ac:dyDescent="0.25">
      <c r="A1894" s="922"/>
      <c r="B1894" s="923"/>
      <c r="C1894" s="923"/>
      <c r="D1894" s="923"/>
      <c r="E1894" s="923"/>
    </row>
    <row r="1895" spans="1:5" x14ac:dyDescent="0.25">
      <c r="A1895" s="922"/>
      <c r="B1895" s="923"/>
      <c r="C1895" s="923"/>
      <c r="D1895" s="923"/>
      <c r="E1895" s="923"/>
    </row>
    <row r="1896" spans="1:5" x14ac:dyDescent="0.25">
      <c r="A1896" s="922"/>
      <c r="B1896" s="923"/>
      <c r="C1896" s="923"/>
      <c r="D1896" s="923"/>
      <c r="E1896" s="923"/>
    </row>
    <row r="1897" spans="1:5" x14ac:dyDescent="0.25">
      <c r="A1897" s="922"/>
      <c r="B1897" s="923"/>
      <c r="C1897" s="923"/>
      <c r="D1897" s="923"/>
      <c r="E1897" s="923"/>
    </row>
    <row r="1898" spans="1:5" x14ac:dyDescent="0.25">
      <c r="A1898" s="922"/>
      <c r="B1898" s="923"/>
      <c r="C1898" s="923"/>
      <c r="D1898" s="923"/>
      <c r="E1898" s="923"/>
    </row>
    <row r="1899" spans="1:5" x14ac:dyDescent="0.25">
      <c r="A1899" s="922"/>
      <c r="B1899" s="923"/>
      <c r="C1899" s="923"/>
      <c r="D1899" s="923"/>
      <c r="E1899" s="923"/>
    </row>
    <row r="1900" spans="1:5" x14ac:dyDescent="0.25">
      <c r="A1900" s="922"/>
      <c r="B1900" s="923"/>
      <c r="C1900" s="923"/>
      <c r="D1900" s="923"/>
      <c r="E1900" s="923"/>
    </row>
    <row r="1901" spans="1:5" x14ac:dyDescent="0.25">
      <c r="A1901" s="922"/>
      <c r="B1901" s="923"/>
      <c r="C1901" s="923"/>
      <c r="D1901" s="923"/>
      <c r="E1901" s="923"/>
    </row>
    <row r="1902" spans="1:5" x14ac:dyDescent="0.25">
      <c r="A1902" s="922"/>
      <c r="B1902" s="923"/>
      <c r="C1902" s="923"/>
      <c r="D1902" s="923"/>
      <c r="E1902" s="923"/>
    </row>
    <row r="1903" spans="1:5" x14ac:dyDescent="0.25">
      <c r="A1903" s="922"/>
      <c r="B1903" s="923"/>
      <c r="C1903" s="923"/>
      <c r="D1903" s="923"/>
      <c r="E1903" s="923"/>
    </row>
    <row r="1904" spans="1:5" x14ac:dyDescent="0.25">
      <c r="A1904" s="922"/>
      <c r="B1904" s="923"/>
      <c r="C1904" s="923"/>
      <c r="D1904" s="923"/>
      <c r="E1904" s="923"/>
    </row>
    <row r="1905" spans="1:5" x14ac:dyDescent="0.25">
      <c r="A1905" s="922"/>
      <c r="B1905" s="923"/>
      <c r="C1905" s="923"/>
      <c r="D1905" s="923"/>
      <c r="E1905" s="923"/>
    </row>
    <row r="1906" spans="1:5" x14ac:dyDescent="0.25">
      <c r="A1906" s="922"/>
      <c r="B1906" s="923"/>
      <c r="C1906" s="923"/>
      <c r="D1906" s="923"/>
      <c r="E1906" s="923"/>
    </row>
    <row r="1907" spans="1:5" x14ac:dyDescent="0.25">
      <c r="A1907" s="922"/>
      <c r="B1907" s="923"/>
      <c r="C1907" s="923"/>
      <c r="D1907" s="923"/>
      <c r="E1907" s="923"/>
    </row>
    <row r="1908" spans="1:5" x14ac:dyDescent="0.25">
      <c r="A1908" s="922"/>
      <c r="B1908" s="923"/>
      <c r="C1908" s="923"/>
      <c r="D1908" s="923"/>
      <c r="E1908" s="923"/>
    </row>
    <row r="1909" spans="1:5" x14ac:dyDescent="0.25">
      <c r="A1909" s="922"/>
      <c r="B1909" s="923"/>
      <c r="C1909" s="923"/>
      <c r="D1909" s="923"/>
      <c r="E1909" s="923"/>
    </row>
    <row r="1910" spans="1:5" x14ac:dyDescent="0.25">
      <c r="A1910" s="922"/>
      <c r="B1910" s="923"/>
      <c r="C1910" s="923"/>
      <c r="D1910" s="923"/>
      <c r="E1910" s="923"/>
    </row>
    <row r="1911" spans="1:5" x14ac:dyDescent="0.25">
      <c r="A1911" s="922"/>
      <c r="B1911" s="923"/>
      <c r="C1911" s="923"/>
      <c r="D1911" s="923"/>
      <c r="E1911" s="923"/>
    </row>
    <row r="1912" spans="1:5" x14ac:dyDescent="0.25">
      <c r="A1912" s="922"/>
      <c r="B1912" s="923"/>
      <c r="C1912" s="923"/>
      <c r="D1912" s="923"/>
      <c r="E1912" s="923"/>
    </row>
    <row r="1913" spans="1:5" x14ac:dyDescent="0.25">
      <c r="A1913" s="922"/>
      <c r="B1913" s="923"/>
      <c r="C1913" s="923"/>
      <c r="D1913" s="923"/>
      <c r="E1913" s="923"/>
    </row>
    <row r="1914" spans="1:5" x14ac:dyDescent="0.25">
      <c r="A1914" s="922"/>
      <c r="B1914" s="923"/>
      <c r="C1914" s="923"/>
      <c r="D1914" s="923"/>
      <c r="E1914" s="923"/>
    </row>
    <row r="1915" spans="1:5" x14ac:dyDescent="0.25">
      <c r="A1915" s="922"/>
      <c r="B1915" s="923"/>
      <c r="C1915" s="923"/>
      <c r="D1915" s="923"/>
      <c r="E1915" s="923"/>
    </row>
    <row r="1916" spans="1:5" x14ac:dyDescent="0.25">
      <c r="A1916" s="922"/>
      <c r="B1916" s="923"/>
      <c r="C1916" s="923"/>
      <c r="D1916" s="923"/>
      <c r="E1916" s="923"/>
    </row>
    <row r="1917" spans="1:5" x14ac:dyDescent="0.25">
      <c r="A1917" s="922"/>
      <c r="B1917" s="923"/>
      <c r="C1917" s="923"/>
      <c r="D1917" s="923"/>
      <c r="E1917" s="923"/>
    </row>
    <row r="1918" spans="1:5" x14ac:dyDescent="0.25">
      <c r="A1918" s="922"/>
      <c r="B1918" s="923"/>
      <c r="C1918" s="923"/>
      <c r="D1918" s="923"/>
      <c r="E1918" s="923"/>
    </row>
    <row r="1919" spans="1:5" x14ac:dyDescent="0.25">
      <c r="A1919" s="922"/>
      <c r="B1919" s="923"/>
      <c r="C1919" s="923"/>
      <c r="D1919" s="923"/>
      <c r="E1919" s="923"/>
    </row>
    <row r="1920" spans="1:5" x14ac:dyDescent="0.25">
      <c r="A1920" s="922"/>
      <c r="B1920" s="923"/>
      <c r="C1920" s="923"/>
      <c r="D1920" s="923"/>
      <c r="E1920" s="923"/>
    </row>
    <row r="1921" spans="1:5" x14ac:dyDescent="0.25">
      <c r="A1921" s="922"/>
      <c r="B1921" s="923"/>
      <c r="C1921" s="923"/>
      <c r="D1921" s="923"/>
      <c r="E1921" s="923"/>
    </row>
    <row r="1922" spans="1:5" x14ac:dyDescent="0.25">
      <c r="A1922" s="922"/>
      <c r="B1922" s="923"/>
      <c r="C1922" s="923"/>
      <c r="D1922" s="923"/>
      <c r="E1922" s="923"/>
    </row>
    <row r="1923" spans="1:5" x14ac:dyDescent="0.25">
      <c r="A1923" s="922"/>
      <c r="B1923" s="923"/>
      <c r="C1923" s="923"/>
      <c r="D1923" s="923"/>
      <c r="E1923" s="923"/>
    </row>
    <row r="1924" spans="1:5" x14ac:dyDescent="0.25">
      <c r="A1924" s="922"/>
      <c r="B1924" s="923"/>
      <c r="C1924" s="923"/>
      <c r="D1924" s="923"/>
      <c r="E1924" s="923"/>
    </row>
    <row r="1925" spans="1:5" x14ac:dyDescent="0.25">
      <c r="A1925" s="922"/>
      <c r="B1925" s="923"/>
      <c r="C1925" s="923"/>
      <c r="D1925" s="923"/>
      <c r="E1925" s="923"/>
    </row>
    <row r="1926" spans="1:5" x14ac:dyDescent="0.25">
      <c r="A1926" s="922"/>
      <c r="B1926" s="923"/>
      <c r="C1926" s="923"/>
      <c r="D1926" s="923"/>
      <c r="E1926" s="923"/>
    </row>
    <row r="1927" spans="1:5" x14ac:dyDescent="0.25">
      <c r="A1927" s="922"/>
      <c r="B1927" s="923"/>
      <c r="C1927" s="923"/>
      <c r="D1927" s="923"/>
      <c r="E1927" s="923"/>
    </row>
    <row r="1928" spans="1:5" x14ac:dyDescent="0.25">
      <c r="A1928" s="922"/>
      <c r="B1928" s="923"/>
      <c r="C1928" s="923"/>
      <c r="D1928" s="923"/>
      <c r="E1928" s="923"/>
    </row>
    <row r="1929" spans="1:5" x14ac:dyDescent="0.25">
      <c r="A1929" s="922"/>
      <c r="B1929" s="923"/>
      <c r="C1929" s="923"/>
      <c r="D1929" s="923"/>
      <c r="E1929" s="923"/>
    </row>
    <row r="1930" spans="1:5" x14ac:dyDescent="0.25">
      <c r="A1930" s="922"/>
      <c r="B1930" s="923"/>
      <c r="C1930" s="923"/>
      <c r="D1930" s="923"/>
      <c r="E1930" s="923"/>
    </row>
    <row r="1931" spans="1:5" x14ac:dyDescent="0.25">
      <c r="A1931" s="922"/>
      <c r="B1931" s="923"/>
      <c r="C1931" s="923"/>
      <c r="D1931" s="923"/>
      <c r="E1931" s="923"/>
    </row>
    <row r="1932" spans="1:5" x14ac:dyDescent="0.25">
      <c r="A1932" s="922"/>
      <c r="B1932" s="923"/>
      <c r="C1932" s="923"/>
      <c r="D1932" s="923"/>
      <c r="E1932" s="923"/>
    </row>
    <row r="1933" spans="1:5" x14ac:dyDescent="0.25">
      <c r="A1933" s="922"/>
      <c r="B1933" s="923"/>
      <c r="C1933" s="923"/>
      <c r="D1933" s="923"/>
      <c r="E1933" s="923"/>
    </row>
    <row r="1934" spans="1:5" x14ac:dyDescent="0.25">
      <c r="A1934" s="922"/>
      <c r="B1934" s="923"/>
      <c r="C1934" s="923"/>
      <c r="D1934" s="923"/>
      <c r="E1934" s="923"/>
    </row>
    <row r="1935" spans="1:5" x14ac:dyDescent="0.25">
      <c r="A1935" s="922"/>
      <c r="B1935" s="923"/>
      <c r="C1935" s="923"/>
      <c r="D1935" s="923"/>
      <c r="E1935" s="923"/>
    </row>
    <row r="1936" spans="1:5" x14ac:dyDescent="0.25">
      <c r="A1936" s="922"/>
      <c r="B1936" s="923"/>
      <c r="C1936" s="923"/>
      <c r="D1936" s="923"/>
      <c r="E1936" s="923"/>
    </row>
    <row r="1937" spans="1:5" x14ac:dyDescent="0.25">
      <c r="A1937" s="922"/>
      <c r="B1937" s="923"/>
      <c r="C1937" s="923"/>
      <c r="D1937" s="923"/>
      <c r="E1937" s="923"/>
    </row>
    <row r="1938" spans="1:5" x14ac:dyDescent="0.25">
      <c r="A1938" s="922"/>
      <c r="B1938" s="923"/>
      <c r="C1938" s="923"/>
      <c r="D1938" s="923"/>
      <c r="E1938" s="923"/>
    </row>
    <row r="1939" spans="1:5" x14ac:dyDescent="0.25">
      <c r="A1939" s="922"/>
      <c r="B1939" s="923"/>
      <c r="C1939" s="923"/>
      <c r="D1939" s="923"/>
      <c r="E1939" s="923"/>
    </row>
    <row r="1940" spans="1:5" x14ac:dyDescent="0.25">
      <c r="A1940" s="922"/>
      <c r="B1940" s="923"/>
      <c r="C1940" s="923"/>
      <c r="D1940" s="923"/>
      <c r="E1940" s="923"/>
    </row>
    <row r="1941" spans="1:5" x14ac:dyDescent="0.25">
      <c r="A1941" s="922"/>
      <c r="B1941" s="923"/>
      <c r="C1941" s="923"/>
      <c r="D1941" s="923"/>
      <c r="E1941" s="923"/>
    </row>
    <row r="1942" spans="1:5" x14ac:dyDescent="0.25">
      <c r="A1942" s="922"/>
      <c r="B1942" s="923"/>
      <c r="C1942" s="923"/>
      <c r="D1942" s="923"/>
      <c r="E1942" s="923"/>
    </row>
    <row r="1943" spans="1:5" x14ac:dyDescent="0.25">
      <c r="A1943" s="922"/>
      <c r="B1943" s="923"/>
      <c r="C1943" s="923"/>
      <c r="D1943" s="923"/>
      <c r="E1943" s="923"/>
    </row>
    <row r="1944" spans="1:5" x14ac:dyDescent="0.25">
      <c r="A1944" s="922"/>
      <c r="B1944" s="923"/>
      <c r="C1944" s="923"/>
      <c r="D1944" s="923"/>
      <c r="E1944" s="923"/>
    </row>
    <row r="1945" spans="1:5" x14ac:dyDescent="0.25">
      <c r="A1945" s="922"/>
      <c r="B1945" s="923"/>
      <c r="C1945" s="923"/>
      <c r="D1945" s="923"/>
      <c r="E1945" s="923"/>
    </row>
    <row r="1946" spans="1:5" x14ac:dyDescent="0.25">
      <c r="A1946" s="922"/>
      <c r="B1946" s="923"/>
      <c r="C1946" s="923"/>
      <c r="D1946" s="923"/>
      <c r="E1946" s="923"/>
    </row>
    <row r="1947" spans="1:5" x14ac:dyDescent="0.25">
      <c r="A1947" s="922"/>
      <c r="B1947" s="923"/>
      <c r="C1947" s="923"/>
      <c r="D1947" s="923"/>
      <c r="E1947" s="923"/>
    </row>
    <row r="1948" spans="1:5" x14ac:dyDescent="0.25">
      <c r="A1948" s="922"/>
      <c r="B1948" s="923"/>
      <c r="C1948" s="923"/>
      <c r="D1948" s="923"/>
      <c r="E1948" s="923"/>
    </row>
    <row r="1949" spans="1:5" x14ac:dyDescent="0.25">
      <c r="A1949" s="922"/>
      <c r="B1949" s="923"/>
      <c r="C1949" s="923"/>
      <c r="D1949" s="923"/>
      <c r="E1949" s="923"/>
    </row>
    <row r="1950" spans="1:5" x14ac:dyDescent="0.25">
      <c r="A1950" s="922"/>
      <c r="B1950" s="923"/>
      <c r="C1950" s="923"/>
      <c r="D1950" s="923"/>
      <c r="E1950" s="923"/>
    </row>
    <row r="1951" spans="1:5" x14ac:dyDescent="0.25">
      <c r="A1951" s="922"/>
      <c r="B1951" s="923"/>
      <c r="C1951" s="923"/>
      <c r="D1951" s="923"/>
      <c r="E1951" s="923"/>
    </row>
    <row r="1952" spans="1:5" x14ac:dyDescent="0.25">
      <c r="A1952" s="922"/>
      <c r="B1952" s="923"/>
      <c r="C1952" s="923"/>
      <c r="D1952" s="923"/>
      <c r="E1952" s="923"/>
    </row>
    <row r="1953" spans="1:5" x14ac:dyDescent="0.25">
      <c r="A1953" s="922"/>
      <c r="B1953" s="923"/>
      <c r="C1953" s="923"/>
      <c r="D1953" s="923"/>
      <c r="E1953" s="923"/>
    </row>
    <row r="1954" spans="1:5" x14ac:dyDescent="0.25">
      <c r="A1954" s="922"/>
      <c r="B1954" s="923"/>
      <c r="C1954" s="923"/>
      <c r="D1954" s="923"/>
      <c r="E1954" s="923"/>
    </row>
    <row r="1955" spans="1:5" x14ac:dyDescent="0.25">
      <c r="A1955" s="922"/>
      <c r="B1955" s="923"/>
      <c r="C1955" s="923"/>
      <c r="D1955" s="923"/>
      <c r="E1955" s="923"/>
    </row>
    <row r="1956" spans="1:5" x14ac:dyDescent="0.25">
      <c r="A1956" s="922"/>
      <c r="B1956" s="923"/>
      <c r="C1956" s="923"/>
      <c r="D1956" s="923"/>
      <c r="E1956" s="923"/>
    </row>
    <row r="1957" spans="1:5" x14ac:dyDescent="0.25">
      <c r="A1957" s="922"/>
      <c r="B1957" s="923"/>
      <c r="C1957" s="923"/>
      <c r="D1957" s="923"/>
      <c r="E1957" s="923"/>
    </row>
    <row r="1958" spans="1:5" x14ac:dyDescent="0.25">
      <c r="A1958" s="922"/>
      <c r="B1958" s="923"/>
      <c r="C1958" s="923"/>
      <c r="D1958" s="923"/>
      <c r="E1958" s="923"/>
    </row>
    <row r="1959" spans="1:5" x14ac:dyDescent="0.25">
      <c r="A1959" s="922"/>
      <c r="B1959" s="923"/>
      <c r="C1959" s="923"/>
      <c r="D1959" s="923"/>
      <c r="E1959" s="923"/>
    </row>
    <row r="1960" spans="1:5" x14ac:dyDescent="0.25">
      <c r="A1960" s="922"/>
      <c r="B1960" s="923"/>
      <c r="C1960" s="923"/>
      <c r="D1960" s="923"/>
      <c r="E1960" s="923"/>
    </row>
    <row r="1961" spans="1:5" x14ac:dyDescent="0.25">
      <c r="A1961" s="922"/>
      <c r="B1961" s="923"/>
      <c r="C1961" s="923"/>
      <c r="D1961" s="923"/>
      <c r="E1961" s="923"/>
    </row>
    <row r="1962" spans="1:5" x14ac:dyDescent="0.25">
      <c r="A1962" s="922"/>
      <c r="B1962" s="923"/>
      <c r="C1962" s="923"/>
      <c r="D1962" s="923"/>
      <c r="E1962" s="923"/>
    </row>
    <row r="1963" spans="1:5" x14ac:dyDescent="0.25">
      <c r="A1963" s="922"/>
      <c r="B1963" s="923"/>
      <c r="C1963" s="923"/>
      <c r="D1963" s="923"/>
      <c r="E1963" s="923"/>
    </row>
    <row r="1964" spans="1:5" x14ac:dyDescent="0.25">
      <c r="A1964" s="922"/>
      <c r="B1964" s="923"/>
      <c r="C1964" s="923"/>
      <c r="D1964" s="923"/>
      <c r="E1964" s="923"/>
    </row>
    <row r="1965" spans="1:5" x14ac:dyDescent="0.25">
      <c r="A1965" s="922"/>
      <c r="B1965" s="923"/>
      <c r="C1965" s="923"/>
      <c r="D1965" s="923"/>
      <c r="E1965" s="923"/>
    </row>
    <row r="1966" spans="1:5" x14ac:dyDescent="0.25">
      <c r="A1966" s="922"/>
      <c r="B1966" s="923"/>
      <c r="C1966" s="923"/>
      <c r="D1966" s="923"/>
      <c r="E1966" s="923"/>
    </row>
    <row r="1967" spans="1:5" x14ac:dyDescent="0.25">
      <c r="A1967" s="922"/>
      <c r="B1967" s="923"/>
      <c r="C1967" s="923"/>
      <c r="D1967" s="923"/>
      <c r="E1967" s="923"/>
    </row>
    <row r="1968" spans="1:5" x14ac:dyDescent="0.25">
      <c r="A1968" s="922"/>
      <c r="B1968" s="923"/>
      <c r="C1968" s="923"/>
      <c r="D1968" s="923"/>
      <c r="E1968" s="923"/>
    </row>
    <row r="1969" spans="1:5" x14ac:dyDescent="0.25">
      <c r="A1969" s="922"/>
      <c r="B1969" s="923"/>
      <c r="C1969" s="923"/>
      <c r="D1969" s="923"/>
      <c r="E1969" s="923"/>
    </row>
    <row r="1970" spans="1:5" x14ac:dyDescent="0.25">
      <c r="A1970" s="922"/>
      <c r="B1970" s="923"/>
      <c r="C1970" s="923"/>
      <c r="D1970" s="923"/>
      <c r="E1970" s="923"/>
    </row>
    <row r="1971" spans="1:5" x14ac:dyDescent="0.25">
      <c r="A1971" s="922"/>
      <c r="B1971" s="923"/>
      <c r="C1971" s="923"/>
      <c r="D1971" s="923"/>
      <c r="E1971" s="923"/>
    </row>
    <row r="1972" spans="1:5" x14ac:dyDescent="0.25">
      <c r="A1972" s="922"/>
      <c r="B1972" s="923"/>
      <c r="C1972" s="923"/>
      <c r="D1972" s="923"/>
      <c r="E1972" s="923"/>
    </row>
    <row r="1973" spans="1:5" x14ac:dyDescent="0.25">
      <c r="A1973" s="922"/>
      <c r="B1973" s="923"/>
      <c r="C1973" s="923"/>
      <c r="D1973" s="923"/>
      <c r="E1973" s="923"/>
    </row>
    <row r="1974" spans="1:5" x14ac:dyDescent="0.25">
      <c r="A1974" s="922"/>
      <c r="B1974" s="923"/>
      <c r="C1974" s="923"/>
      <c r="D1974" s="923"/>
      <c r="E1974" s="923"/>
    </row>
    <row r="1975" spans="1:5" x14ac:dyDescent="0.25">
      <c r="A1975" s="922"/>
      <c r="B1975" s="923"/>
      <c r="C1975" s="923"/>
      <c r="D1975" s="923"/>
      <c r="E1975" s="923"/>
    </row>
    <row r="1976" spans="1:5" x14ac:dyDescent="0.25">
      <c r="A1976" s="922"/>
      <c r="B1976" s="923"/>
      <c r="C1976" s="923"/>
      <c r="D1976" s="923"/>
      <c r="E1976" s="923"/>
    </row>
    <row r="1977" spans="1:5" x14ac:dyDescent="0.25">
      <c r="A1977" s="922"/>
      <c r="B1977" s="923"/>
      <c r="C1977" s="923"/>
      <c r="D1977" s="923"/>
      <c r="E1977" s="923"/>
    </row>
    <row r="1978" spans="1:5" x14ac:dyDescent="0.25">
      <c r="A1978" s="922"/>
      <c r="B1978" s="923"/>
      <c r="C1978" s="923"/>
      <c r="D1978" s="923"/>
      <c r="E1978" s="923"/>
    </row>
    <row r="1979" spans="1:5" x14ac:dyDescent="0.25">
      <c r="A1979" s="922"/>
      <c r="B1979" s="923"/>
      <c r="C1979" s="923"/>
      <c r="D1979" s="923"/>
      <c r="E1979" s="923"/>
    </row>
    <row r="1980" spans="1:5" x14ac:dyDescent="0.25">
      <c r="A1980" s="922"/>
      <c r="B1980" s="923"/>
      <c r="C1980" s="923"/>
      <c r="D1980" s="923"/>
      <c r="E1980" s="923"/>
    </row>
    <row r="1981" spans="1:5" x14ac:dyDescent="0.25">
      <c r="A1981" s="922"/>
      <c r="B1981" s="923"/>
      <c r="C1981" s="923"/>
      <c r="D1981" s="923"/>
      <c r="E1981" s="923"/>
    </row>
    <row r="1982" spans="1:5" x14ac:dyDescent="0.25">
      <c r="A1982" s="922"/>
      <c r="B1982" s="923"/>
      <c r="C1982" s="923"/>
      <c r="D1982" s="923"/>
      <c r="E1982" s="923"/>
    </row>
    <row r="1983" spans="1:5" x14ac:dyDescent="0.25">
      <c r="A1983" s="922"/>
      <c r="B1983" s="923"/>
      <c r="C1983" s="923"/>
      <c r="D1983" s="923"/>
      <c r="E1983" s="923"/>
    </row>
    <row r="1984" spans="1:5" x14ac:dyDescent="0.25">
      <c r="A1984" s="922"/>
      <c r="B1984" s="923"/>
      <c r="C1984" s="923"/>
      <c r="D1984" s="923"/>
      <c r="E1984" s="923"/>
    </row>
    <row r="1985" spans="1:5" x14ac:dyDescent="0.25">
      <c r="A1985" s="922"/>
      <c r="B1985" s="923"/>
      <c r="C1985" s="923"/>
      <c r="D1985" s="923"/>
      <c r="E1985" s="923"/>
    </row>
    <row r="1986" spans="1:5" x14ac:dyDescent="0.25">
      <c r="A1986" s="922"/>
      <c r="B1986" s="923"/>
      <c r="C1986" s="923"/>
      <c r="D1986" s="923"/>
      <c r="E1986" s="923"/>
    </row>
    <row r="1987" spans="1:5" x14ac:dyDescent="0.25">
      <c r="A1987" s="922"/>
      <c r="B1987" s="923"/>
      <c r="C1987" s="923"/>
      <c r="D1987" s="923"/>
      <c r="E1987" s="923"/>
    </row>
    <row r="1988" spans="1:5" x14ac:dyDescent="0.25">
      <c r="A1988" s="922"/>
      <c r="B1988" s="923"/>
      <c r="C1988" s="923"/>
      <c r="D1988" s="923"/>
      <c r="E1988" s="923"/>
    </row>
    <row r="1989" spans="1:5" x14ac:dyDescent="0.25">
      <c r="A1989" s="922"/>
      <c r="B1989" s="923"/>
      <c r="C1989" s="923"/>
      <c r="D1989" s="923"/>
      <c r="E1989" s="923"/>
    </row>
    <row r="1990" spans="1:5" x14ac:dyDescent="0.25">
      <c r="A1990" s="922"/>
      <c r="B1990" s="923"/>
      <c r="C1990" s="923"/>
      <c r="D1990" s="923"/>
      <c r="E1990" s="923"/>
    </row>
    <row r="1991" spans="1:5" x14ac:dyDescent="0.25">
      <c r="A1991" s="922"/>
      <c r="B1991" s="923"/>
      <c r="C1991" s="923"/>
      <c r="D1991" s="923"/>
      <c r="E1991" s="923"/>
    </row>
    <row r="1992" spans="1:5" x14ac:dyDescent="0.25">
      <c r="A1992" s="922"/>
      <c r="B1992" s="923"/>
      <c r="C1992" s="923"/>
      <c r="D1992" s="923"/>
      <c r="E1992" s="923"/>
    </row>
    <row r="1993" spans="1:5" x14ac:dyDescent="0.25">
      <c r="A1993" s="922"/>
      <c r="B1993" s="923"/>
      <c r="C1993" s="923"/>
      <c r="D1993" s="923"/>
      <c r="E1993" s="923"/>
    </row>
    <row r="1994" spans="1:5" x14ac:dyDescent="0.25">
      <c r="A1994" s="922"/>
      <c r="B1994" s="923"/>
      <c r="C1994" s="923"/>
      <c r="D1994" s="923"/>
      <c r="E1994" s="923"/>
    </row>
    <row r="1995" spans="1:5" x14ac:dyDescent="0.25">
      <c r="A1995" s="922"/>
      <c r="B1995" s="923"/>
      <c r="C1995" s="923"/>
      <c r="D1995" s="923"/>
      <c r="E1995" s="923"/>
    </row>
    <row r="1996" spans="1:5" x14ac:dyDescent="0.25">
      <c r="A1996" s="922"/>
      <c r="B1996" s="923"/>
      <c r="C1996" s="923"/>
      <c r="D1996" s="923"/>
      <c r="E1996" s="923"/>
    </row>
    <row r="1997" spans="1:5" x14ac:dyDescent="0.25">
      <c r="A1997" s="922"/>
      <c r="B1997" s="923"/>
      <c r="C1997" s="923"/>
      <c r="D1997" s="923"/>
      <c r="E1997" s="923"/>
    </row>
    <row r="1998" spans="1:5" x14ac:dyDescent="0.25">
      <c r="A1998" s="922"/>
      <c r="B1998" s="923"/>
      <c r="C1998" s="923"/>
      <c r="D1998" s="923"/>
      <c r="E1998" s="923"/>
    </row>
    <row r="1999" spans="1:5" x14ac:dyDescent="0.25">
      <c r="A1999" s="922"/>
      <c r="B1999" s="923"/>
      <c r="C1999" s="923"/>
      <c r="D1999" s="923"/>
      <c r="E1999" s="923"/>
    </row>
    <row r="2000" spans="1:5" x14ac:dyDescent="0.25">
      <c r="A2000" s="922"/>
      <c r="B2000" s="923"/>
      <c r="C2000" s="923"/>
      <c r="D2000" s="923"/>
      <c r="E2000" s="923"/>
    </row>
    <row r="2001" spans="1:5" x14ac:dyDescent="0.25">
      <c r="A2001" s="922"/>
      <c r="B2001" s="923"/>
      <c r="C2001" s="923"/>
      <c r="D2001" s="923"/>
      <c r="E2001" s="923"/>
    </row>
    <row r="2002" spans="1:5" x14ac:dyDescent="0.25">
      <c r="A2002" s="922"/>
      <c r="B2002" s="923"/>
      <c r="C2002" s="923"/>
      <c r="D2002" s="923"/>
      <c r="E2002" s="923"/>
    </row>
    <row r="2003" spans="1:5" x14ac:dyDescent="0.25">
      <c r="A2003" s="922"/>
      <c r="B2003" s="923"/>
      <c r="C2003" s="923"/>
      <c r="D2003" s="923"/>
      <c r="E2003" s="923"/>
    </row>
    <row r="2004" spans="1:5" x14ac:dyDescent="0.25">
      <c r="A2004" s="922"/>
      <c r="B2004" s="923"/>
      <c r="C2004" s="923"/>
      <c r="D2004" s="923"/>
      <c r="E2004" s="923"/>
    </row>
    <row r="2005" spans="1:5" x14ac:dyDescent="0.25">
      <c r="A2005" s="922"/>
      <c r="B2005" s="923"/>
      <c r="C2005" s="923"/>
      <c r="D2005" s="923"/>
      <c r="E2005" s="923"/>
    </row>
    <row r="2006" spans="1:5" x14ac:dyDescent="0.25">
      <c r="A2006" s="922"/>
      <c r="B2006" s="923"/>
      <c r="C2006" s="923"/>
      <c r="D2006" s="923"/>
      <c r="E2006" s="923"/>
    </row>
    <row r="2007" spans="1:5" x14ac:dyDescent="0.25">
      <c r="A2007" s="922"/>
      <c r="B2007" s="923"/>
      <c r="C2007" s="923"/>
      <c r="D2007" s="923"/>
      <c r="E2007" s="923"/>
    </row>
    <row r="2008" spans="1:5" x14ac:dyDescent="0.25">
      <c r="A2008" s="922"/>
      <c r="B2008" s="923"/>
      <c r="C2008" s="923"/>
      <c r="D2008" s="923"/>
      <c r="E2008" s="923"/>
    </row>
    <row r="2009" spans="1:5" x14ac:dyDescent="0.25">
      <c r="A2009" s="922"/>
      <c r="B2009" s="923"/>
      <c r="C2009" s="923"/>
      <c r="D2009" s="923"/>
      <c r="E2009" s="923"/>
    </row>
    <row r="2010" spans="1:5" x14ac:dyDescent="0.25">
      <c r="A2010" s="922"/>
      <c r="B2010" s="923"/>
      <c r="C2010" s="923"/>
      <c r="D2010" s="923"/>
      <c r="E2010" s="923"/>
    </row>
    <row r="2011" spans="1:5" x14ac:dyDescent="0.25">
      <c r="A2011" s="922"/>
      <c r="B2011" s="923"/>
      <c r="C2011" s="923"/>
      <c r="D2011" s="923"/>
      <c r="E2011" s="923"/>
    </row>
    <row r="2012" spans="1:5" x14ac:dyDescent="0.25">
      <c r="A2012" s="922"/>
      <c r="B2012" s="923"/>
      <c r="C2012" s="923"/>
      <c r="D2012" s="923"/>
      <c r="E2012" s="923"/>
    </row>
    <row r="2013" spans="1:5" x14ac:dyDescent="0.25">
      <c r="A2013" s="922"/>
      <c r="B2013" s="923"/>
      <c r="C2013" s="923"/>
      <c r="D2013" s="923"/>
      <c r="E2013" s="923"/>
    </row>
    <row r="2014" spans="1:5" x14ac:dyDescent="0.25">
      <c r="A2014" s="922"/>
      <c r="B2014" s="923"/>
      <c r="C2014" s="923"/>
      <c r="D2014" s="923"/>
      <c r="E2014" s="923"/>
    </row>
    <row r="2015" spans="1:5" x14ac:dyDescent="0.25">
      <c r="A2015" s="922"/>
      <c r="B2015" s="923"/>
      <c r="C2015" s="923"/>
      <c r="D2015" s="923"/>
      <c r="E2015" s="923"/>
    </row>
    <row r="2016" spans="1:5" x14ac:dyDescent="0.25">
      <c r="A2016" s="922"/>
      <c r="B2016" s="923"/>
      <c r="C2016" s="923"/>
      <c r="D2016" s="923"/>
      <c r="E2016" s="923"/>
    </row>
    <row r="2017" spans="1:5" x14ac:dyDescent="0.25">
      <c r="A2017" s="922"/>
      <c r="B2017" s="923"/>
      <c r="C2017" s="923"/>
      <c r="D2017" s="923"/>
      <c r="E2017" s="923"/>
    </row>
    <row r="2018" spans="1:5" x14ac:dyDescent="0.25">
      <c r="A2018" s="922"/>
      <c r="B2018" s="923"/>
      <c r="C2018" s="923"/>
      <c r="D2018" s="923"/>
      <c r="E2018" s="923"/>
    </row>
    <row r="2019" spans="1:5" x14ac:dyDescent="0.25">
      <c r="A2019" s="922"/>
      <c r="B2019" s="923"/>
      <c r="C2019" s="923"/>
      <c r="D2019" s="923"/>
      <c r="E2019" s="923"/>
    </row>
    <row r="2020" spans="1:5" x14ac:dyDescent="0.25">
      <c r="A2020" s="922"/>
      <c r="B2020" s="923"/>
      <c r="C2020" s="923"/>
      <c r="D2020" s="923"/>
      <c r="E2020" s="923"/>
    </row>
    <row r="2021" spans="1:5" x14ac:dyDescent="0.25">
      <c r="A2021" s="922"/>
      <c r="B2021" s="923"/>
      <c r="C2021" s="923"/>
      <c r="D2021" s="923"/>
      <c r="E2021" s="923"/>
    </row>
    <row r="2022" spans="1:5" x14ac:dyDescent="0.25">
      <c r="A2022" s="922"/>
      <c r="B2022" s="923"/>
      <c r="C2022" s="923"/>
      <c r="D2022" s="923"/>
      <c r="E2022" s="923"/>
    </row>
    <row r="2023" spans="1:5" x14ac:dyDescent="0.25">
      <c r="A2023" s="922"/>
      <c r="B2023" s="923"/>
      <c r="C2023" s="923"/>
      <c r="D2023" s="923"/>
      <c r="E2023" s="923"/>
    </row>
    <row r="2024" spans="1:5" x14ac:dyDescent="0.25">
      <c r="A2024" s="922"/>
      <c r="B2024" s="923"/>
      <c r="C2024" s="923"/>
      <c r="D2024" s="923"/>
      <c r="E2024" s="923"/>
    </row>
    <row r="2025" spans="1:5" x14ac:dyDescent="0.25">
      <c r="A2025" s="922"/>
      <c r="B2025" s="923"/>
      <c r="C2025" s="923"/>
      <c r="D2025" s="923"/>
      <c r="E2025" s="923"/>
    </row>
    <row r="2026" spans="1:5" x14ac:dyDescent="0.25">
      <c r="A2026" s="922"/>
      <c r="B2026" s="923"/>
      <c r="C2026" s="923"/>
      <c r="D2026" s="923"/>
      <c r="E2026" s="923"/>
    </row>
    <row r="2027" spans="1:5" x14ac:dyDescent="0.25">
      <c r="A2027" s="922"/>
      <c r="B2027" s="923"/>
      <c r="C2027" s="923"/>
      <c r="D2027" s="923"/>
      <c r="E2027" s="923"/>
    </row>
    <row r="2028" spans="1:5" x14ac:dyDescent="0.25">
      <c r="A2028" s="922"/>
      <c r="B2028" s="923"/>
      <c r="C2028" s="923"/>
      <c r="D2028" s="923"/>
      <c r="E2028" s="923"/>
    </row>
    <row r="2029" spans="1:5" x14ac:dyDescent="0.25">
      <c r="A2029" s="922"/>
      <c r="B2029" s="923"/>
      <c r="C2029" s="923"/>
      <c r="D2029" s="923"/>
      <c r="E2029" s="923"/>
    </row>
    <row r="2030" spans="1:5" x14ac:dyDescent="0.25">
      <c r="A2030" s="922"/>
      <c r="B2030" s="923"/>
      <c r="C2030" s="923"/>
      <c r="D2030" s="923"/>
      <c r="E2030" s="923"/>
    </row>
    <row r="2031" spans="1:5" x14ac:dyDescent="0.25">
      <c r="A2031" s="922"/>
      <c r="B2031" s="923"/>
      <c r="C2031" s="923"/>
      <c r="D2031" s="923"/>
      <c r="E2031" s="923"/>
    </row>
    <row r="2032" spans="1:5" x14ac:dyDescent="0.25">
      <c r="A2032" s="922"/>
      <c r="B2032" s="923"/>
      <c r="C2032" s="923"/>
      <c r="D2032" s="923"/>
      <c r="E2032" s="923"/>
    </row>
    <row r="2033" spans="1:5" x14ac:dyDescent="0.25">
      <c r="A2033" s="922"/>
      <c r="B2033" s="923"/>
      <c r="C2033" s="923"/>
      <c r="D2033" s="923"/>
      <c r="E2033" s="923"/>
    </row>
    <row r="2034" spans="1:5" x14ac:dyDescent="0.25">
      <c r="A2034" s="922"/>
      <c r="B2034" s="923"/>
      <c r="C2034" s="923"/>
      <c r="D2034" s="923"/>
      <c r="E2034" s="923"/>
    </row>
    <row r="2035" spans="1:5" x14ac:dyDescent="0.25">
      <c r="A2035" s="922"/>
      <c r="B2035" s="923"/>
      <c r="C2035" s="923"/>
      <c r="D2035" s="923"/>
      <c r="E2035" s="923"/>
    </row>
    <row r="2036" spans="1:5" x14ac:dyDescent="0.25">
      <c r="A2036" s="922"/>
      <c r="B2036" s="923"/>
      <c r="C2036" s="923"/>
      <c r="D2036" s="923"/>
      <c r="E2036" s="923"/>
    </row>
    <row r="2037" spans="1:5" x14ac:dyDescent="0.25">
      <c r="A2037" s="922"/>
      <c r="B2037" s="923"/>
      <c r="C2037" s="923"/>
      <c r="D2037" s="923"/>
      <c r="E2037" s="923"/>
    </row>
    <row r="2038" spans="1:5" x14ac:dyDescent="0.25">
      <c r="A2038" s="922"/>
      <c r="B2038" s="923"/>
      <c r="C2038" s="923"/>
      <c r="D2038" s="923"/>
      <c r="E2038" s="923"/>
    </row>
    <row r="2039" spans="1:5" x14ac:dyDescent="0.25">
      <c r="A2039" s="922"/>
      <c r="B2039" s="923"/>
      <c r="C2039" s="923"/>
      <c r="D2039" s="923"/>
      <c r="E2039" s="923"/>
    </row>
    <row r="2040" spans="1:5" x14ac:dyDescent="0.25">
      <c r="A2040" s="922"/>
      <c r="B2040" s="923"/>
      <c r="C2040" s="923"/>
      <c r="D2040" s="923"/>
      <c r="E2040" s="923"/>
    </row>
    <row r="2041" spans="1:5" x14ac:dyDescent="0.25">
      <c r="A2041" s="922"/>
      <c r="B2041" s="923"/>
      <c r="C2041" s="923"/>
      <c r="D2041" s="923"/>
      <c r="E2041" s="923"/>
    </row>
    <row r="2042" spans="1:5" x14ac:dyDescent="0.25">
      <c r="A2042" s="922"/>
      <c r="B2042" s="923"/>
      <c r="C2042" s="923"/>
      <c r="D2042" s="923"/>
      <c r="E2042" s="923"/>
    </row>
    <row r="2043" spans="1:5" x14ac:dyDescent="0.25">
      <c r="A2043" s="922"/>
      <c r="B2043" s="923"/>
      <c r="C2043" s="923"/>
      <c r="D2043" s="923"/>
      <c r="E2043" s="923"/>
    </row>
    <row r="2044" spans="1:5" x14ac:dyDescent="0.25">
      <c r="A2044" s="922"/>
      <c r="B2044" s="923"/>
      <c r="C2044" s="923"/>
      <c r="D2044" s="923"/>
      <c r="E2044" s="923"/>
    </row>
    <row r="2045" spans="1:5" x14ac:dyDescent="0.25">
      <c r="A2045" s="922"/>
      <c r="B2045" s="923"/>
      <c r="C2045" s="923"/>
      <c r="D2045" s="923"/>
      <c r="E2045" s="923"/>
    </row>
    <row r="2046" spans="1:5" x14ac:dyDescent="0.25">
      <c r="A2046" s="922"/>
      <c r="B2046" s="923"/>
      <c r="C2046" s="923"/>
      <c r="D2046" s="923"/>
      <c r="E2046" s="923"/>
    </row>
    <row r="2047" spans="1:5" x14ac:dyDescent="0.25">
      <c r="A2047" s="922"/>
      <c r="B2047" s="923"/>
      <c r="C2047" s="923"/>
      <c r="D2047" s="923"/>
      <c r="E2047" s="923"/>
    </row>
    <row r="2048" spans="1:5" x14ac:dyDescent="0.25">
      <c r="A2048" s="922"/>
      <c r="B2048" s="923"/>
      <c r="C2048" s="923"/>
      <c r="D2048" s="923"/>
      <c r="E2048" s="923"/>
    </row>
    <row r="2049" spans="1:5" x14ac:dyDescent="0.25">
      <c r="A2049" s="922"/>
      <c r="B2049" s="923"/>
      <c r="C2049" s="923"/>
      <c r="D2049" s="923"/>
      <c r="E2049" s="923"/>
    </row>
    <row r="2050" spans="1:5" x14ac:dyDescent="0.25">
      <c r="A2050" s="922"/>
      <c r="B2050" s="923"/>
      <c r="C2050" s="923"/>
      <c r="D2050" s="923"/>
      <c r="E2050" s="923"/>
    </row>
    <row r="2051" spans="1:5" x14ac:dyDescent="0.25">
      <c r="A2051" s="922"/>
      <c r="B2051" s="923"/>
      <c r="C2051" s="923"/>
      <c r="D2051" s="923"/>
      <c r="E2051" s="923"/>
    </row>
    <row r="2052" spans="1:5" x14ac:dyDescent="0.25">
      <c r="A2052" s="922"/>
      <c r="B2052" s="923"/>
      <c r="C2052" s="923"/>
      <c r="D2052" s="923"/>
      <c r="E2052" s="923"/>
    </row>
    <row r="2053" spans="1:5" x14ac:dyDescent="0.25">
      <c r="A2053" s="922"/>
      <c r="B2053" s="923"/>
      <c r="C2053" s="923"/>
      <c r="D2053" s="923"/>
      <c r="E2053" s="923"/>
    </row>
    <row r="2054" spans="1:5" x14ac:dyDescent="0.25">
      <c r="A2054" s="922"/>
      <c r="B2054" s="923"/>
      <c r="C2054" s="923"/>
      <c r="D2054" s="923"/>
      <c r="E2054" s="923"/>
    </row>
    <row r="2055" spans="1:5" x14ac:dyDescent="0.25">
      <c r="A2055" s="922"/>
      <c r="B2055" s="923"/>
      <c r="C2055" s="923"/>
      <c r="D2055" s="923"/>
      <c r="E2055" s="923"/>
    </row>
    <row r="2056" spans="1:5" x14ac:dyDescent="0.25">
      <c r="A2056" s="922"/>
      <c r="B2056" s="923"/>
      <c r="C2056" s="923"/>
      <c r="D2056" s="923"/>
      <c r="E2056" s="923"/>
    </row>
    <row r="2057" spans="1:5" x14ac:dyDescent="0.25">
      <c r="A2057" s="922"/>
      <c r="B2057" s="923"/>
      <c r="C2057" s="923"/>
      <c r="D2057" s="923"/>
      <c r="E2057" s="923"/>
    </row>
    <row r="2058" spans="1:5" x14ac:dyDescent="0.25">
      <c r="A2058" s="922"/>
      <c r="B2058" s="923"/>
      <c r="C2058" s="923"/>
      <c r="D2058" s="923"/>
      <c r="E2058" s="923"/>
    </row>
    <row r="2059" spans="1:5" x14ac:dyDescent="0.25">
      <c r="A2059" s="922"/>
      <c r="B2059" s="923"/>
      <c r="C2059" s="923"/>
      <c r="D2059" s="923"/>
      <c r="E2059" s="923"/>
    </row>
    <row r="2060" spans="1:5" x14ac:dyDescent="0.25">
      <c r="A2060" s="922"/>
      <c r="B2060" s="923"/>
      <c r="C2060" s="923"/>
      <c r="D2060" s="923"/>
      <c r="E2060" s="923"/>
    </row>
    <row r="2061" spans="1:5" x14ac:dyDescent="0.25">
      <c r="A2061" s="922"/>
      <c r="B2061" s="923"/>
      <c r="C2061" s="923"/>
      <c r="D2061" s="923"/>
      <c r="E2061" s="923"/>
    </row>
    <row r="2062" spans="1:5" x14ac:dyDescent="0.25">
      <c r="A2062" s="922"/>
      <c r="B2062" s="923"/>
      <c r="C2062" s="923"/>
      <c r="D2062" s="923"/>
      <c r="E2062" s="923"/>
    </row>
    <row r="2063" spans="1:5" x14ac:dyDescent="0.25">
      <c r="A2063" s="922"/>
      <c r="B2063" s="923"/>
      <c r="C2063" s="923"/>
      <c r="D2063" s="923"/>
      <c r="E2063" s="923"/>
    </row>
    <row r="2064" spans="1:5" x14ac:dyDescent="0.25">
      <c r="A2064" s="922"/>
      <c r="B2064" s="923"/>
      <c r="C2064" s="923"/>
      <c r="D2064" s="923"/>
      <c r="E2064" s="923"/>
    </row>
    <row r="2065" spans="1:5" x14ac:dyDescent="0.25">
      <c r="A2065" s="922"/>
      <c r="B2065" s="923"/>
      <c r="C2065" s="923"/>
      <c r="D2065" s="923"/>
      <c r="E2065" s="923"/>
    </row>
    <row r="2066" spans="1:5" x14ac:dyDescent="0.25">
      <c r="A2066" s="922"/>
      <c r="B2066" s="923"/>
      <c r="C2066" s="923"/>
      <c r="D2066" s="923"/>
      <c r="E2066" s="923"/>
    </row>
    <row r="2067" spans="1:5" x14ac:dyDescent="0.25">
      <c r="A2067" s="922"/>
      <c r="B2067" s="923"/>
      <c r="C2067" s="923"/>
      <c r="D2067" s="923"/>
      <c r="E2067" s="923"/>
    </row>
    <row r="2068" spans="1:5" x14ac:dyDescent="0.25">
      <c r="A2068" s="922"/>
      <c r="B2068" s="923"/>
      <c r="C2068" s="923"/>
      <c r="D2068" s="923"/>
      <c r="E2068" s="923"/>
    </row>
    <row r="2069" spans="1:5" x14ac:dyDescent="0.25">
      <c r="A2069" s="922"/>
      <c r="B2069" s="923"/>
      <c r="C2069" s="923"/>
      <c r="D2069" s="923"/>
      <c r="E2069" s="923"/>
    </row>
    <row r="2070" spans="1:5" x14ac:dyDescent="0.25">
      <c r="A2070" s="922"/>
      <c r="B2070" s="923"/>
      <c r="C2070" s="923"/>
      <c r="D2070" s="923"/>
      <c r="E2070" s="923"/>
    </row>
    <row r="2071" spans="1:5" x14ac:dyDescent="0.25">
      <c r="A2071" s="922"/>
      <c r="B2071" s="923"/>
      <c r="C2071" s="923"/>
      <c r="D2071" s="923"/>
      <c r="E2071" s="923"/>
    </row>
    <row r="2072" spans="1:5" x14ac:dyDescent="0.25">
      <c r="A2072" s="922"/>
      <c r="B2072" s="923"/>
      <c r="C2072" s="923"/>
      <c r="D2072" s="923"/>
      <c r="E2072" s="923"/>
    </row>
    <row r="2073" spans="1:5" x14ac:dyDescent="0.25">
      <c r="A2073" s="922"/>
      <c r="B2073" s="923"/>
      <c r="C2073" s="923"/>
      <c r="D2073" s="923"/>
      <c r="E2073" s="923"/>
    </row>
    <row r="2074" spans="1:5" x14ac:dyDescent="0.25">
      <c r="A2074" s="922"/>
      <c r="B2074" s="923"/>
      <c r="C2074" s="923"/>
      <c r="D2074" s="923"/>
      <c r="E2074" s="923"/>
    </row>
    <row r="2075" spans="1:5" x14ac:dyDescent="0.25">
      <c r="A2075" s="922"/>
      <c r="B2075" s="923"/>
      <c r="C2075" s="923"/>
      <c r="D2075" s="923"/>
      <c r="E2075" s="923"/>
    </row>
    <row r="2076" spans="1:5" x14ac:dyDescent="0.25">
      <c r="A2076" s="922"/>
      <c r="B2076" s="923"/>
      <c r="C2076" s="923"/>
      <c r="D2076" s="923"/>
      <c r="E2076" s="923"/>
    </row>
    <row r="2077" spans="1:5" x14ac:dyDescent="0.25">
      <c r="A2077" s="922"/>
      <c r="B2077" s="923"/>
      <c r="C2077" s="923"/>
      <c r="D2077" s="923"/>
      <c r="E2077" s="923"/>
    </row>
    <row r="2078" spans="1:5" x14ac:dyDescent="0.25">
      <c r="A2078" s="922"/>
      <c r="B2078" s="923"/>
      <c r="C2078" s="923"/>
      <c r="D2078" s="923"/>
      <c r="E2078" s="923"/>
    </row>
    <row r="2079" spans="1:5" x14ac:dyDescent="0.25">
      <c r="A2079" s="922"/>
      <c r="B2079" s="923"/>
      <c r="C2079" s="923"/>
      <c r="D2079" s="923"/>
      <c r="E2079" s="923"/>
    </row>
    <row r="2080" spans="1:5" x14ac:dyDescent="0.25">
      <c r="A2080" s="922"/>
      <c r="B2080" s="923"/>
      <c r="C2080" s="923"/>
      <c r="D2080" s="923"/>
      <c r="E2080" s="923"/>
    </row>
    <row r="2081" spans="1:5" x14ac:dyDescent="0.25">
      <c r="A2081" s="922"/>
      <c r="B2081" s="923"/>
      <c r="C2081" s="923"/>
      <c r="D2081" s="923"/>
      <c r="E2081" s="923"/>
    </row>
    <row r="2082" spans="1:5" x14ac:dyDescent="0.25">
      <c r="A2082" s="922"/>
      <c r="B2082" s="923"/>
      <c r="C2082" s="923"/>
      <c r="D2082" s="923"/>
      <c r="E2082" s="923"/>
    </row>
    <row r="2083" spans="1:5" x14ac:dyDescent="0.25">
      <c r="A2083" s="922"/>
      <c r="B2083" s="923"/>
      <c r="C2083" s="923"/>
      <c r="D2083" s="923"/>
      <c r="E2083" s="923"/>
    </row>
    <row r="2084" spans="1:5" x14ac:dyDescent="0.25">
      <c r="A2084" s="922"/>
      <c r="B2084" s="923"/>
      <c r="C2084" s="923"/>
      <c r="D2084" s="923"/>
      <c r="E2084" s="923"/>
    </row>
    <row r="2085" spans="1:5" x14ac:dyDescent="0.25">
      <c r="A2085" s="922"/>
      <c r="B2085" s="923"/>
      <c r="C2085" s="923"/>
      <c r="D2085" s="923"/>
      <c r="E2085" s="923"/>
    </row>
    <row r="2086" spans="1:5" x14ac:dyDescent="0.25">
      <c r="A2086" s="922"/>
      <c r="B2086" s="923"/>
      <c r="C2086" s="923"/>
      <c r="D2086" s="923"/>
      <c r="E2086" s="923"/>
    </row>
    <row r="2087" spans="1:5" x14ac:dyDescent="0.25">
      <c r="A2087" s="922"/>
      <c r="B2087" s="923"/>
      <c r="C2087" s="923"/>
      <c r="D2087" s="923"/>
      <c r="E2087" s="923"/>
    </row>
    <row r="2088" spans="1:5" x14ac:dyDescent="0.25">
      <c r="A2088" s="922"/>
      <c r="B2088" s="923"/>
      <c r="C2088" s="923"/>
      <c r="D2088" s="923"/>
      <c r="E2088" s="923"/>
    </row>
    <row r="2089" spans="1:5" x14ac:dyDescent="0.25">
      <c r="A2089" s="922"/>
      <c r="B2089" s="923"/>
      <c r="C2089" s="923"/>
      <c r="D2089" s="923"/>
      <c r="E2089" s="923"/>
    </row>
    <row r="2090" spans="1:5" x14ac:dyDescent="0.25">
      <c r="A2090" s="922"/>
      <c r="B2090" s="923"/>
      <c r="C2090" s="923"/>
      <c r="D2090" s="923"/>
      <c r="E2090" s="923"/>
    </row>
    <row r="2091" spans="1:5" x14ac:dyDescent="0.25">
      <c r="A2091" s="922"/>
      <c r="B2091" s="923"/>
      <c r="C2091" s="923"/>
      <c r="D2091" s="923"/>
      <c r="E2091" s="923"/>
    </row>
    <row r="2092" spans="1:5" x14ac:dyDescent="0.25">
      <c r="A2092" s="922"/>
      <c r="B2092" s="923"/>
      <c r="C2092" s="923"/>
      <c r="D2092" s="923"/>
      <c r="E2092" s="923"/>
    </row>
    <row r="2093" spans="1:5" x14ac:dyDescent="0.25">
      <c r="A2093" s="922"/>
      <c r="B2093" s="923"/>
      <c r="C2093" s="923"/>
      <c r="D2093" s="923"/>
      <c r="E2093" s="923"/>
    </row>
    <row r="2094" spans="1:5" x14ac:dyDescent="0.25">
      <c r="A2094" s="922"/>
      <c r="B2094" s="923"/>
      <c r="C2094" s="923"/>
      <c r="D2094" s="923"/>
      <c r="E2094" s="923"/>
    </row>
    <row r="2095" spans="1:5" x14ac:dyDescent="0.25">
      <c r="A2095" s="922"/>
      <c r="B2095" s="923"/>
      <c r="C2095" s="923"/>
      <c r="D2095" s="923"/>
      <c r="E2095" s="923"/>
    </row>
    <row r="2096" spans="1:5" x14ac:dyDescent="0.25">
      <c r="A2096" s="922"/>
      <c r="B2096" s="923"/>
      <c r="C2096" s="923"/>
      <c r="D2096" s="923"/>
      <c r="E2096" s="923"/>
    </row>
    <row r="2097" spans="1:5" x14ac:dyDescent="0.25">
      <c r="A2097" s="922"/>
      <c r="B2097" s="923"/>
      <c r="C2097" s="923"/>
      <c r="D2097" s="923"/>
      <c r="E2097" s="923"/>
    </row>
    <row r="2098" spans="1:5" x14ac:dyDescent="0.25">
      <c r="A2098" s="922"/>
      <c r="B2098" s="923"/>
      <c r="C2098" s="923"/>
      <c r="D2098" s="923"/>
      <c r="E2098" s="923"/>
    </row>
    <row r="2099" spans="1:5" x14ac:dyDescent="0.25">
      <c r="A2099" s="922"/>
      <c r="B2099" s="923"/>
      <c r="C2099" s="923"/>
      <c r="D2099" s="923"/>
      <c r="E2099" s="923"/>
    </row>
    <row r="2100" spans="1:5" x14ac:dyDescent="0.25">
      <c r="A2100" s="922"/>
      <c r="B2100" s="923"/>
      <c r="C2100" s="923"/>
      <c r="D2100" s="923"/>
      <c r="E2100" s="923"/>
    </row>
    <row r="2101" spans="1:5" x14ac:dyDescent="0.25">
      <c r="A2101" s="922"/>
      <c r="B2101" s="923"/>
      <c r="C2101" s="923"/>
      <c r="D2101" s="923"/>
      <c r="E2101" s="923"/>
    </row>
    <row r="2102" spans="1:5" x14ac:dyDescent="0.25">
      <c r="A2102" s="922"/>
      <c r="B2102" s="923"/>
      <c r="C2102" s="923"/>
      <c r="D2102" s="923"/>
      <c r="E2102" s="923"/>
    </row>
    <row r="2103" spans="1:5" x14ac:dyDescent="0.25">
      <c r="A2103" s="922"/>
      <c r="B2103" s="923"/>
      <c r="C2103" s="923"/>
      <c r="D2103" s="923"/>
      <c r="E2103" s="923"/>
    </row>
    <row r="2104" spans="1:5" x14ac:dyDescent="0.25">
      <c r="A2104" s="922"/>
      <c r="B2104" s="923"/>
      <c r="C2104" s="923"/>
      <c r="D2104" s="923"/>
      <c r="E2104" s="923"/>
    </row>
    <row r="2105" spans="1:5" x14ac:dyDescent="0.25">
      <c r="A2105" s="922"/>
      <c r="B2105" s="923"/>
      <c r="C2105" s="923"/>
      <c r="D2105" s="923"/>
      <c r="E2105" s="923"/>
    </row>
    <row r="2106" spans="1:5" x14ac:dyDescent="0.25">
      <c r="A2106" s="922"/>
      <c r="B2106" s="923"/>
      <c r="C2106" s="923"/>
      <c r="D2106" s="923"/>
      <c r="E2106" s="923"/>
    </row>
    <row r="2107" spans="1:5" x14ac:dyDescent="0.25">
      <c r="A2107" s="922"/>
      <c r="B2107" s="923"/>
      <c r="C2107" s="923"/>
      <c r="D2107" s="923"/>
      <c r="E2107" s="923"/>
    </row>
    <row r="2108" spans="1:5" x14ac:dyDescent="0.25">
      <c r="A2108" s="922"/>
      <c r="B2108" s="923"/>
      <c r="C2108" s="923"/>
      <c r="D2108" s="923"/>
      <c r="E2108" s="923"/>
    </row>
  </sheetData>
  <mergeCells count="2">
    <mergeCell ref="A1:E1"/>
    <mergeCell ref="A2:E2"/>
  </mergeCells>
  <pageMargins left="0.86614173228346458" right="0.62992125984251968" top="0.82677165354330717" bottom="0.51181102362204722" header="0.31496062992125984" footer="0.31496062992125984"/>
  <pageSetup paperSize="9" orientation="portrait" r:id="rId1"/>
  <headerFooter>
    <oddHeader>&amp;R&amp;"Times New Roman CE,Félkövér"&amp;10 19. melléklet a 12/2021. (II.25.) önkormányzati rendelethez&amp;"Times New Roman CE,Normál"
 21&amp;"Times New Roman CE,Dőlt". melléklet az 5/2020(II.17.) önkorányzati rendelethez</oddHeader>
  </headerFooter>
  <rowBreaks count="1" manualBreakCount="1">
    <brk id="4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L37"/>
  <sheetViews>
    <sheetView view="pageBreakPreview" zoomScale="70" zoomScaleNormal="90" zoomScaleSheetLayoutView="70" workbookViewId="0">
      <pane xSplit="2" ySplit="8" topLeftCell="Z15" activePane="bottomRight" state="frozen"/>
      <selection sqref="A1:XFD1048576"/>
      <selection pane="topRight" sqref="A1:XFD1048576"/>
      <selection pane="bottomLeft" sqref="A1:XFD1048576"/>
      <selection pane="bottomRight" activeCell="AA6" sqref="AA6:AD6"/>
    </sheetView>
  </sheetViews>
  <sheetFormatPr defaultColWidth="9" defaultRowHeight="15.75" x14ac:dyDescent="0.25"/>
  <cols>
    <col min="1" max="1" width="35.75" style="45" customWidth="1"/>
    <col min="2" max="2" width="10" style="45" customWidth="1"/>
    <col min="3" max="3" width="12.25" style="116" customWidth="1"/>
    <col min="4" max="4" width="13.125" style="116" customWidth="1"/>
    <col min="5" max="5" width="15" style="116" customWidth="1"/>
    <col min="6" max="15" width="13.75" style="116" customWidth="1"/>
    <col min="16" max="16" width="13" style="116" customWidth="1"/>
    <col min="17" max="17" width="15.25" style="116" customWidth="1"/>
    <col min="18" max="26" width="13.875" style="116" customWidth="1"/>
    <col min="27" max="27" width="12.875" style="116" customWidth="1"/>
    <col min="28" max="28" width="14.875" style="116" customWidth="1"/>
    <col min="29" max="29" width="15.375" style="116" customWidth="1"/>
    <col min="30" max="30" width="13.25" style="116" customWidth="1"/>
    <col min="31" max="31" width="12.625" style="116" customWidth="1"/>
    <col min="32" max="32" width="14.875" style="116" customWidth="1"/>
    <col min="33" max="33" width="15.375" style="116" customWidth="1"/>
    <col min="34" max="34" width="14.125" style="116" customWidth="1"/>
    <col min="35" max="35" width="13.875" style="116" customWidth="1"/>
    <col min="36" max="36" width="14.875" style="116" customWidth="1"/>
    <col min="37" max="37" width="15.375" style="116" customWidth="1"/>
    <col min="38" max="38" width="14.125" style="116" customWidth="1"/>
    <col min="39" max="16384" width="9" style="45"/>
  </cols>
  <sheetData>
    <row r="1" spans="1:38" x14ac:dyDescent="0.25">
      <c r="A1" s="171"/>
      <c r="B1" s="965" t="s">
        <v>222</v>
      </c>
      <c r="C1" s="965"/>
      <c r="D1" s="965"/>
      <c r="E1" s="965"/>
      <c r="F1" s="965"/>
      <c r="G1" s="965"/>
      <c r="H1" s="965"/>
      <c r="I1" s="965"/>
      <c r="J1" s="965"/>
      <c r="K1" s="965"/>
      <c r="L1" s="965"/>
      <c r="M1" s="965"/>
      <c r="N1" s="965"/>
      <c r="O1" s="965" t="s">
        <v>222</v>
      </c>
      <c r="P1" s="965"/>
      <c r="Q1" s="965"/>
      <c r="R1" s="965"/>
      <c r="S1" s="965"/>
      <c r="T1" s="965"/>
      <c r="U1" s="965"/>
      <c r="V1" s="965"/>
      <c r="W1" s="965"/>
      <c r="X1" s="965"/>
      <c r="Y1" s="965"/>
      <c r="Z1" s="965"/>
      <c r="AA1" s="965" t="s">
        <v>222</v>
      </c>
      <c r="AB1" s="965"/>
      <c r="AC1" s="965"/>
      <c r="AD1" s="965"/>
      <c r="AE1" s="965"/>
      <c r="AF1" s="965"/>
      <c r="AG1" s="965"/>
      <c r="AH1" s="965"/>
      <c r="AI1" s="965"/>
      <c r="AJ1" s="965"/>
      <c r="AK1" s="965"/>
      <c r="AL1" s="965"/>
    </row>
    <row r="2" spans="1:38" x14ac:dyDescent="0.25">
      <c r="A2" s="171"/>
      <c r="B2" s="965" t="s">
        <v>766</v>
      </c>
      <c r="C2" s="965"/>
      <c r="D2" s="965"/>
      <c r="E2" s="965"/>
      <c r="F2" s="965"/>
      <c r="G2" s="965"/>
      <c r="H2" s="965"/>
      <c r="I2" s="965"/>
      <c r="J2" s="965"/>
      <c r="K2" s="965"/>
      <c r="L2" s="965"/>
      <c r="M2" s="965"/>
      <c r="N2" s="965"/>
      <c r="O2" s="965" t="s">
        <v>766</v>
      </c>
      <c r="P2" s="965"/>
      <c r="Q2" s="965"/>
      <c r="R2" s="965"/>
      <c r="S2" s="965"/>
      <c r="T2" s="965"/>
      <c r="U2" s="965"/>
      <c r="V2" s="965"/>
      <c r="W2" s="965"/>
      <c r="X2" s="965"/>
      <c r="Y2" s="965"/>
      <c r="Z2" s="965"/>
      <c r="AA2" s="965" t="s">
        <v>766</v>
      </c>
      <c r="AB2" s="965"/>
      <c r="AC2" s="965"/>
      <c r="AD2" s="965"/>
      <c r="AE2" s="965"/>
      <c r="AF2" s="965"/>
      <c r="AG2" s="965"/>
      <c r="AH2" s="965"/>
      <c r="AI2" s="965"/>
      <c r="AJ2" s="965"/>
      <c r="AK2" s="965"/>
      <c r="AL2" s="965"/>
    </row>
    <row r="3" spans="1:38" x14ac:dyDescent="0.25">
      <c r="A3" s="171"/>
      <c r="B3" s="965" t="s">
        <v>1045</v>
      </c>
      <c r="C3" s="965"/>
      <c r="D3" s="965"/>
      <c r="E3" s="965"/>
      <c r="F3" s="965"/>
      <c r="G3" s="965"/>
      <c r="H3" s="965"/>
      <c r="I3" s="965"/>
      <c r="J3" s="965"/>
      <c r="K3" s="965"/>
      <c r="L3" s="965"/>
      <c r="M3" s="965"/>
      <c r="N3" s="965"/>
      <c r="O3" s="965" t="s">
        <v>1045</v>
      </c>
      <c r="P3" s="965"/>
      <c r="Q3" s="965"/>
      <c r="R3" s="965"/>
      <c r="S3" s="965"/>
      <c r="T3" s="965"/>
      <c r="U3" s="965"/>
      <c r="V3" s="965"/>
      <c r="W3" s="965"/>
      <c r="X3" s="965"/>
      <c r="Y3" s="965"/>
      <c r="Z3" s="965"/>
      <c r="AA3" s="965" t="s">
        <v>1045</v>
      </c>
      <c r="AB3" s="965"/>
      <c r="AC3" s="965"/>
      <c r="AD3" s="965"/>
      <c r="AE3" s="965"/>
      <c r="AF3" s="965"/>
      <c r="AG3" s="965"/>
      <c r="AH3" s="965"/>
      <c r="AI3" s="965"/>
      <c r="AJ3" s="965"/>
      <c r="AK3" s="965"/>
      <c r="AL3" s="965"/>
    </row>
    <row r="4" spans="1:38" ht="16.5" thickBot="1" x14ac:dyDescent="0.3"/>
    <row r="5" spans="1:38" s="174" customFormat="1" ht="68.25" customHeight="1" thickTop="1" thickBot="1" x14ac:dyDescent="0.3">
      <c r="A5" s="172"/>
      <c r="B5" s="173"/>
      <c r="C5" s="958" t="s">
        <v>22</v>
      </c>
      <c r="D5" s="959"/>
      <c r="E5" s="959"/>
      <c r="F5" s="959"/>
      <c r="G5" s="959"/>
      <c r="H5" s="959"/>
      <c r="I5" s="959"/>
      <c r="J5" s="959"/>
      <c r="K5" s="959"/>
      <c r="L5" s="959"/>
      <c r="M5" s="959"/>
      <c r="N5" s="960"/>
      <c r="O5" s="117" t="s">
        <v>23</v>
      </c>
      <c r="P5" s="117"/>
      <c r="Q5" s="117"/>
      <c r="R5" s="117"/>
      <c r="S5" s="117"/>
      <c r="T5" s="117"/>
      <c r="U5" s="117"/>
      <c r="V5" s="117"/>
      <c r="W5" s="117"/>
      <c r="X5" s="117"/>
      <c r="Y5" s="117"/>
      <c r="Z5" s="117"/>
      <c r="AA5" s="970" t="s">
        <v>143</v>
      </c>
      <c r="AB5" s="970"/>
      <c r="AC5" s="970"/>
      <c r="AD5" s="970"/>
      <c r="AE5" s="970"/>
      <c r="AF5" s="970"/>
      <c r="AG5" s="970"/>
      <c r="AH5" s="970"/>
      <c r="AI5" s="970"/>
      <c r="AJ5" s="970"/>
      <c r="AK5" s="970"/>
      <c r="AL5" s="970"/>
    </row>
    <row r="6" spans="1:38" s="179" customFormat="1" ht="39" customHeight="1" thickTop="1" thickBot="1" x14ac:dyDescent="0.3">
      <c r="A6" s="175" t="s">
        <v>136</v>
      </c>
      <c r="B6" s="176" t="s">
        <v>153</v>
      </c>
      <c r="C6" s="958" t="s">
        <v>347</v>
      </c>
      <c r="D6" s="959"/>
      <c r="E6" s="959"/>
      <c r="F6" s="960"/>
      <c r="G6" s="967" t="s">
        <v>348</v>
      </c>
      <c r="H6" s="968"/>
      <c r="I6" s="968"/>
      <c r="J6" s="969"/>
      <c r="K6" s="178" t="s">
        <v>821</v>
      </c>
      <c r="L6" s="178"/>
      <c r="M6" s="178"/>
      <c r="N6" s="178"/>
      <c r="O6" s="958" t="s">
        <v>347</v>
      </c>
      <c r="P6" s="959"/>
      <c r="Q6" s="959"/>
      <c r="R6" s="960"/>
      <c r="S6" s="967" t="s">
        <v>348</v>
      </c>
      <c r="T6" s="968"/>
      <c r="U6" s="968"/>
      <c r="V6" s="969"/>
      <c r="W6" s="967" t="s">
        <v>821</v>
      </c>
      <c r="X6" s="968"/>
      <c r="Y6" s="968"/>
      <c r="Z6" s="969"/>
      <c r="AA6" s="958" t="s">
        <v>347</v>
      </c>
      <c r="AB6" s="959"/>
      <c r="AC6" s="959"/>
      <c r="AD6" s="960"/>
      <c r="AE6" s="966" t="s">
        <v>348</v>
      </c>
      <c r="AF6" s="966"/>
      <c r="AG6" s="966"/>
      <c r="AH6" s="966"/>
      <c r="AI6" s="966" t="s">
        <v>821</v>
      </c>
      <c r="AJ6" s="966"/>
      <c r="AK6" s="966"/>
      <c r="AL6" s="966"/>
    </row>
    <row r="7" spans="1:38" s="13" customFormat="1" ht="33" thickTop="1" thickBot="1" x14ac:dyDescent="0.3">
      <c r="A7" s="125"/>
      <c r="B7" s="126"/>
      <c r="C7" s="611" t="s">
        <v>131</v>
      </c>
      <c r="D7" s="612" t="s">
        <v>132</v>
      </c>
      <c r="E7" s="612" t="s">
        <v>333</v>
      </c>
      <c r="F7" s="612" t="s">
        <v>143</v>
      </c>
      <c r="G7" s="611" t="s">
        <v>131</v>
      </c>
      <c r="H7" s="611" t="s">
        <v>132</v>
      </c>
      <c r="I7" s="611" t="s">
        <v>333</v>
      </c>
      <c r="J7" s="611" t="s">
        <v>143</v>
      </c>
      <c r="K7" s="612" t="s">
        <v>131</v>
      </c>
      <c r="L7" s="612" t="s">
        <v>132</v>
      </c>
      <c r="M7" s="612" t="s">
        <v>333</v>
      </c>
      <c r="N7" s="612" t="s">
        <v>143</v>
      </c>
      <c r="O7" s="612" t="s">
        <v>131</v>
      </c>
      <c r="P7" s="612" t="s">
        <v>132</v>
      </c>
      <c r="Q7" s="612" t="s">
        <v>333</v>
      </c>
      <c r="R7" s="612" t="s">
        <v>143</v>
      </c>
      <c r="S7" s="612" t="s">
        <v>131</v>
      </c>
      <c r="T7" s="612" t="s">
        <v>132</v>
      </c>
      <c r="U7" s="612" t="s">
        <v>333</v>
      </c>
      <c r="V7" s="612" t="s">
        <v>143</v>
      </c>
      <c r="W7" s="612" t="s">
        <v>131</v>
      </c>
      <c r="X7" s="612" t="s">
        <v>132</v>
      </c>
      <c r="Y7" s="612" t="s">
        <v>333</v>
      </c>
      <c r="Z7" s="612" t="s">
        <v>143</v>
      </c>
      <c r="AA7" s="612" t="s">
        <v>131</v>
      </c>
      <c r="AB7" s="612" t="s">
        <v>132</v>
      </c>
      <c r="AC7" s="612" t="s">
        <v>333</v>
      </c>
      <c r="AD7" s="612" t="s">
        <v>143</v>
      </c>
      <c r="AE7" s="612" t="s">
        <v>131</v>
      </c>
      <c r="AF7" s="612" t="s">
        <v>132</v>
      </c>
      <c r="AG7" s="612" t="s">
        <v>333</v>
      </c>
      <c r="AH7" s="612" t="s">
        <v>143</v>
      </c>
      <c r="AI7" s="612" t="s">
        <v>131</v>
      </c>
      <c r="AJ7" s="612" t="s">
        <v>132</v>
      </c>
      <c r="AK7" s="612" t="s">
        <v>333</v>
      </c>
      <c r="AL7" s="612" t="s">
        <v>143</v>
      </c>
    </row>
    <row r="8" spans="1:38" s="179" customFormat="1" ht="17.25" thickTop="1" thickBot="1" x14ac:dyDescent="0.3">
      <c r="A8" s="180" t="s">
        <v>137</v>
      </c>
      <c r="B8" s="181"/>
      <c r="C8" s="508" t="s">
        <v>358</v>
      </c>
      <c r="D8" s="509"/>
      <c r="E8" s="509"/>
      <c r="F8" s="509"/>
      <c r="G8" s="182" t="s">
        <v>359</v>
      </c>
      <c r="H8" s="183"/>
      <c r="I8" s="183"/>
      <c r="J8" s="177"/>
      <c r="K8" s="118" t="s">
        <v>360</v>
      </c>
      <c r="L8" s="118"/>
      <c r="M8" s="118"/>
      <c r="N8" s="118"/>
      <c r="O8" s="957" t="s">
        <v>361</v>
      </c>
      <c r="P8" s="957"/>
      <c r="Q8" s="957"/>
      <c r="R8" s="957"/>
      <c r="S8" s="957" t="s">
        <v>362</v>
      </c>
      <c r="T8" s="957"/>
      <c r="U8" s="957"/>
      <c r="V8" s="957"/>
      <c r="W8" s="957" t="s">
        <v>363</v>
      </c>
      <c r="X8" s="957"/>
      <c r="Y8" s="957"/>
      <c r="Z8" s="957"/>
      <c r="AA8" s="957" t="s">
        <v>364</v>
      </c>
      <c r="AB8" s="957"/>
      <c r="AC8" s="957"/>
      <c r="AD8" s="957"/>
      <c r="AE8" s="957" t="s">
        <v>365</v>
      </c>
      <c r="AF8" s="957"/>
      <c r="AG8" s="957"/>
      <c r="AH8" s="957"/>
      <c r="AI8" s="957" t="s">
        <v>366</v>
      </c>
      <c r="AJ8" s="957"/>
      <c r="AK8" s="957"/>
      <c r="AL8" s="957"/>
    </row>
    <row r="9" spans="1:38" ht="16.5" thickTop="1" x14ac:dyDescent="0.25">
      <c r="A9" s="184" t="s">
        <v>28</v>
      </c>
      <c r="B9" s="184" t="s">
        <v>154</v>
      </c>
      <c r="C9" s="510">
        <v>241495</v>
      </c>
      <c r="D9" s="511">
        <v>120655</v>
      </c>
      <c r="E9" s="511"/>
      <c r="F9" s="185">
        <f>SUM(C9:E9)</f>
        <v>362150</v>
      </c>
      <c r="G9" s="185">
        <v>0</v>
      </c>
      <c r="H9" s="185">
        <v>-946</v>
      </c>
      <c r="I9" s="185"/>
      <c r="J9" s="185">
        <f>SUM(G9:I9)</f>
        <v>-946</v>
      </c>
      <c r="K9" s="185">
        <f>SUM(C9+G9)</f>
        <v>241495</v>
      </c>
      <c r="L9" s="185">
        <f>SUM(D9+H9)</f>
        <v>119709</v>
      </c>
      <c r="M9" s="185">
        <f>SUM(E9+I9)</f>
        <v>0</v>
      </c>
      <c r="N9" s="186">
        <f>SUM(K9:M9)</f>
        <v>361204</v>
      </c>
      <c r="O9" s="511">
        <v>6453297</v>
      </c>
      <c r="P9" s="119">
        <v>1420438</v>
      </c>
      <c r="Q9" s="119">
        <v>682953</v>
      </c>
      <c r="R9" s="119">
        <f>SUM(O9:Q9)</f>
        <v>8556688</v>
      </c>
      <c r="S9" s="119">
        <v>41838</v>
      </c>
      <c r="T9" s="119">
        <v>191</v>
      </c>
      <c r="U9" s="119">
        <v>-10</v>
      </c>
      <c r="V9" s="119">
        <f>SUM(S9:U9)</f>
        <v>42019</v>
      </c>
      <c r="W9" s="119">
        <f>SUM(O9+S9)</f>
        <v>6495135</v>
      </c>
      <c r="X9" s="119">
        <f t="shared" ref="W9:Y10" si="0">SUM(P9+T9)</f>
        <v>1420629</v>
      </c>
      <c r="Y9" s="119">
        <f t="shared" si="0"/>
        <v>682943</v>
      </c>
      <c r="Z9" s="187">
        <f>SUM(W9:Y9)</f>
        <v>8598707</v>
      </c>
      <c r="AA9" s="188">
        <f t="shared" ref="AA9:AB13" si="1">+C9+O9</f>
        <v>6694792</v>
      </c>
      <c r="AB9" s="189">
        <f t="shared" si="1"/>
        <v>1541093</v>
      </c>
      <c r="AC9" s="190">
        <f t="shared" ref="AC9:AC20" si="2">SUM(Q9+E9)</f>
        <v>682953</v>
      </c>
      <c r="AD9" s="191">
        <f>SUM(AA9:AC9)</f>
        <v>8918838</v>
      </c>
      <c r="AE9" s="188">
        <f>+G9+S9</f>
        <v>41838</v>
      </c>
      <c r="AF9" s="189">
        <f t="shared" ref="AE9:AF13" si="3">+H9+T9</f>
        <v>-755</v>
      </c>
      <c r="AG9" s="190">
        <f t="shared" ref="AG9:AG13" si="4">SUM(U9+I9)</f>
        <v>-10</v>
      </c>
      <c r="AH9" s="191">
        <f t="shared" ref="AH9:AH13" si="5">SUM(AE9:AG9)</f>
        <v>41073</v>
      </c>
      <c r="AI9" s="188">
        <f>+K9+W9</f>
        <v>6736630</v>
      </c>
      <c r="AJ9" s="189">
        <f t="shared" ref="AI9:AJ13" si="6">+L9+X9</f>
        <v>1540338</v>
      </c>
      <c r="AK9" s="190">
        <f t="shared" ref="AK9:AK13" si="7">SUM(Y9+M9)</f>
        <v>682943</v>
      </c>
      <c r="AL9" s="191">
        <f t="shared" ref="AL9:AL13" si="8">SUM(AI9:AK9)</f>
        <v>8959911</v>
      </c>
    </row>
    <row r="10" spans="1:38" ht="31.5" x14ac:dyDescent="0.25">
      <c r="A10" s="192" t="s">
        <v>29</v>
      </c>
      <c r="B10" s="192" t="s">
        <v>155</v>
      </c>
      <c r="C10" s="114">
        <v>45803</v>
      </c>
      <c r="D10" s="44">
        <v>49554</v>
      </c>
      <c r="E10" s="44"/>
      <c r="F10" s="114">
        <f>SUM(C10:E10)</f>
        <v>95357</v>
      </c>
      <c r="G10" s="44">
        <v>-702</v>
      </c>
      <c r="H10" s="44">
        <v>-199</v>
      </c>
      <c r="I10" s="44"/>
      <c r="J10" s="44">
        <f>SUM(G10:I10)</f>
        <v>-901</v>
      </c>
      <c r="K10" s="44">
        <f>SUM(C10+G10)</f>
        <v>45101</v>
      </c>
      <c r="L10" s="44">
        <f t="shared" ref="L10:M10" si="9">SUM(D10+H10)</f>
        <v>49355</v>
      </c>
      <c r="M10" s="44">
        <f t="shared" si="9"/>
        <v>0</v>
      </c>
      <c r="N10" s="114">
        <f>SUM(K10:M10)</f>
        <v>94456</v>
      </c>
      <c r="O10" s="44">
        <v>1168186</v>
      </c>
      <c r="P10" s="44">
        <v>246107</v>
      </c>
      <c r="Q10" s="44">
        <v>131987</v>
      </c>
      <c r="R10" s="114">
        <f>SUM(O10:Q10)</f>
        <v>1546280</v>
      </c>
      <c r="S10" s="44">
        <v>4018</v>
      </c>
      <c r="T10" s="44">
        <v>30</v>
      </c>
      <c r="U10" s="44"/>
      <c r="V10" s="44">
        <f>SUM(S10:U10)</f>
        <v>4048</v>
      </c>
      <c r="W10" s="44">
        <f t="shared" si="0"/>
        <v>1172204</v>
      </c>
      <c r="X10" s="44">
        <f t="shared" si="0"/>
        <v>246137</v>
      </c>
      <c r="Y10" s="44">
        <f t="shared" si="0"/>
        <v>131987</v>
      </c>
      <c r="Z10" s="114">
        <f>SUM(W10:Y10)</f>
        <v>1550328</v>
      </c>
      <c r="AA10" s="193">
        <f t="shared" si="1"/>
        <v>1213989</v>
      </c>
      <c r="AB10" s="194">
        <f t="shared" si="1"/>
        <v>295661</v>
      </c>
      <c r="AC10" s="195">
        <f t="shared" si="2"/>
        <v>131987</v>
      </c>
      <c r="AD10" s="61">
        <f>SUM(AA10:AC10)</f>
        <v>1641637</v>
      </c>
      <c r="AE10" s="193">
        <f t="shared" si="3"/>
        <v>3316</v>
      </c>
      <c r="AF10" s="194">
        <f t="shared" si="3"/>
        <v>-169</v>
      </c>
      <c r="AG10" s="195">
        <f t="shared" si="4"/>
        <v>0</v>
      </c>
      <c r="AH10" s="61">
        <f t="shared" si="5"/>
        <v>3147</v>
      </c>
      <c r="AI10" s="193">
        <f t="shared" si="6"/>
        <v>1217305</v>
      </c>
      <c r="AJ10" s="194">
        <f t="shared" si="6"/>
        <v>295492</v>
      </c>
      <c r="AK10" s="195">
        <f t="shared" si="7"/>
        <v>131987</v>
      </c>
      <c r="AL10" s="61">
        <f t="shared" si="8"/>
        <v>1644784</v>
      </c>
    </row>
    <row r="11" spans="1:38" x14ac:dyDescent="0.25">
      <c r="A11" s="43" t="s">
        <v>30</v>
      </c>
      <c r="B11" s="43" t="s">
        <v>156</v>
      </c>
      <c r="C11" s="114">
        <v>5079026</v>
      </c>
      <c r="D11" s="44">
        <v>4784114</v>
      </c>
      <c r="E11" s="44"/>
      <c r="F11" s="114">
        <f>SUM(C11:E11)</f>
        <v>9863140</v>
      </c>
      <c r="G11" s="44">
        <v>-77290</v>
      </c>
      <c r="H11" s="44">
        <v>-18070</v>
      </c>
      <c r="I11" s="44"/>
      <c r="J11" s="114">
        <f t="shared" ref="J11:J20" si="10">SUM(G11:I11)</f>
        <v>-95360</v>
      </c>
      <c r="K11" s="44">
        <f t="shared" ref="K11:K13" si="11">SUM(C11+G11)</f>
        <v>5001736</v>
      </c>
      <c r="L11" s="44">
        <f t="shared" ref="L11:L13" si="12">SUM(D11+H11)</f>
        <v>4766044</v>
      </c>
      <c r="M11" s="44">
        <f t="shared" ref="M11:M13" si="13">SUM(E11+I11)</f>
        <v>0</v>
      </c>
      <c r="N11" s="114">
        <f t="shared" ref="N11:N13" si="14">SUM(K11:M11)</f>
        <v>9767780</v>
      </c>
      <c r="O11" s="44">
        <v>3436146</v>
      </c>
      <c r="P11" s="44">
        <v>984145</v>
      </c>
      <c r="Q11" s="44">
        <v>112473</v>
      </c>
      <c r="R11" s="114">
        <f>SUM(O11:Q11)</f>
        <v>4532764</v>
      </c>
      <c r="S11" s="44">
        <v>118947</v>
      </c>
      <c r="T11" s="44">
        <v>14274</v>
      </c>
      <c r="U11" s="44">
        <v>10</v>
      </c>
      <c r="V11" s="44">
        <f t="shared" ref="V11:V20" si="15">SUM(S11:U11)</f>
        <v>133231</v>
      </c>
      <c r="W11" s="44">
        <f t="shared" ref="W11:W13" si="16">SUM(O11+S11)</f>
        <v>3555093</v>
      </c>
      <c r="X11" s="44">
        <f t="shared" ref="X11:X13" si="17">SUM(P11+T11)</f>
        <v>998419</v>
      </c>
      <c r="Y11" s="44">
        <f t="shared" ref="Y11:Y13" si="18">SUM(Q11+U11)</f>
        <v>112483</v>
      </c>
      <c r="Z11" s="114">
        <f t="shared" ref="Z11:Z13" si="19">SUM(W11:Y11)</f>
        <v>4665995</v>
      </c>
      <c r="AA11" s="193">
        <f t="shared" si="1"/>
        <v>8515172</v>
      </c>
      <c r="AB11" s="194">
        <f t="shared" si="1"/>
        <v>5768259</v>
      </c>
      <c r="AC11" s="195">
        <f t="shared" si="2"/>
        <v>112473</v>
      </c>
      <c r="AD11" s="61">
        <f>SUM(AA11:AC11)</f>
        <v>14395904</v>
      </c>
      <c r="AE11" s="193">
        <f t="shared" si="3"/>
        <v>41657</v>
      </c>
      <c r="AF11" s="194">
        <f t="shared" si="3"/>
        <v>-3796</v>
      </c>
      <c r="AG11" s="195">
        <f t="shared" si="4"/>
        <v>10</v>
      </c>
      <c r="AH11" s="61">
        <f t="shared" si="5"/>
        <v>37871</v>
      </c>
      <c r="AI11" s="193">
        <f t="shared" si="6"/>
        <v>8556829</v>
      </c>
      <c r="AJ11" s="194">
        <f t="shared" si="6"/>
        <v>5764463</v>
      </c>
      <c r="AK11" s="195">
        <f t="shared" si="7"/>
        <v>112483</v>
      </c>
      <c r="AL11" s="61">
        <f t="shared" si="8"/>
        <v>14433775</v>
      </c>
    </row>
    <row r="12" spans="1:38" x14ac:dyDescent="0.25">
      <c r="A12" s="43" t="s">
        <v>453</v>
      </c>
      <c r="B12" s="43" t="s">
        <v>157</v>
      </c>
      <c r="C12" s="114">
        <v>120883</v>
      </c>
      <c r="D12" s="44">
        <v>100100</v>
      </c>
      <c r="E12" s="44"/>
      <c r="F12" s="114">
        <f>SUM(C12:E12)</f>
        <v>220983</v>
      </c>
      <c r="G12" s="114"/>
      <c r="H12" s="114"/>
      <c r="I12" s="114"/>
      <c r="J12" s="114">
        <f t="shared" si="10"/>
        <v>0</v>
      </c>
      <c r="K12" s="44">
        <f t="shared" si="11"/>
        <v>120883</v>
      </c>
      <c r="L12" s="44">
        <f t="shared" si="12"/>
        <v>100100</v>
      </c>
      <c r="M12" s="44">
        <f t="shared" si="13"/>
        <v>0</v>
      </c>
      <c r="N12" s="114">
        <f t="shared" si="14"/>
        <v>220983</v>
      </c>
      <c r="O12" s="114">
        <v>11588</v>
      </c>
      <c r="P12" s="512">
        <v>0</v>
      </c>
      <c r="Q12" s="512">
        <v>0</v>
      </c>
      <c r="R12" s="119">
        <f>SUM(O12:Q12)</f>
        <v>11588</v>
      </c>
      <c r="S12" s="119">
        <v>12630</v>
      </c>
      <c r="T12" s="119"/>
      <c r="U12" s="119"/>
      <c r="V12" s="44">
        <f t="shared" si="15"/>
        <v>12630</v>
      </c>
      <c r="W12" s="44">
        <f t="shared" si="16"/>
        <v>24218</v>
      </c>
      <c r="X12" s="44">
        <f t="shared" si="17"/>
        <v>0</v>
      </c>
      <c r="Y12" s="44">
        <f t="shared" si="18"/>
        <v>0</v>
      </c>
      <c r="Z12" s="114">
        <f t="shared" si="19"/>
        <v>24218</v>
      </c>
      <c r="AA12" s="196">
        <f t="shared" si="1"/>
        <v>132471</v>
      </c>
      <c r="AB12" s="197">
        <f t="shared" si="1"/>
        <v>100100</v>
      </c>
      <c r="AC12" s="195">
        <f>SUM(Q12+E12)</f>
        <v>0</v>
      </c>
      <c r="AD12" s="198">
        <f>SUM(AA12:AC12)</f>
        <v>232571</v>
      </c>
      <c r="AE12" s="196">
        <f t="shared" si="3"/>
        <v>12630</v>
      </c>
      <c r="AF12" s="197">
        <f t="shared" si="3"/>
        <v>0</v>
      </c>
      <c r="AG12" s="195">
        <f t="shared" si="4"/>
        <v>0</v>
      </c>
      <c r="AH12" s="198">
        <f t="shared" si="5"/>
        <v>12630</v>
      </c>
      <c r="AI12" s="196">
        <f t="shared" si="6"/>
        <v>145101</v>
      </c>
      <c r="AJ12" s="197">
        <f t="shared" si="6"/>
        <v>100100</v>
      </c>
      <c r="AK12" s="195">
        <f t="shared" si="7"/>
        <v>0</v>
      </c>
      <c r="AL12" s="198">
        <f t="shared" si="8"/>
        <v>245201</v>
      </c>
    </row>
    <row r="13" spans="1:38" ht="31.5" x14ac:dyDescent="0.25">
      <c r="A13" s="192" t="s">
        <v>178</v>
      </c>
      <c r="B13" s="192" t="s">
        <v>313</v>
      </c>
      <c r="C13" s="114">
        <v>11167258</v>
      </c>
      <c r="D13" s="44">
        <v>1250406</v>
      </c>
      <c r="E13" s="44"/>
      <c r="F13" s="114">
        <f>SUM(C13:E13)</f>
        <v>12417664</v>
      </c>
      <c r="G13" s="44">
        <v>0</v>
      </c>
      <c r="H13" s="44">
        <v>2016</v>
      </c>
      <c r="I13" s="44"/>
      <c r="J13" s="114">
        <f t="shared" si="10"/>
        <v>2016</v>
      </c>
      <c r="K13" s="44">
        <f t="shared" si="11"/>
        <v>11167258</v>
      </c>
      <c r="L13" s="44">
        <f t="shared" si="12"/>
        <v>1252422</v>
      </c>
      <c r="M13" s="44">
        <f t="shared" si="13"/>
        <v>0</v>
      </c>
      <c r="N13" s="114">
        <f t="shared" si="14"/>
        <v>12419680</v>
      </c>
      <c r="O13" s="44">
        <v>34805</v>
      </c>
      <c r="P13" s="44">
        <v>47000</v>
      </c>
      <c r="Q13" s="44">
        <v>0</v>
      </c>
      <c r="R13" s="114">
        <f>SUM(O13:Q13)</f>
        <v>81805</v>
      </c>
      <c r="S13" s="44">
        <v>1</v>
      </c>
      <c r="T13" s="44"/>
      <c r="U13" s="44"/>
      <c r="V13" s="44">
        <f t="shared" si="15"/>
        <v>1</v>
      </c>
      <c r="W13" s="44">
        <f t="shared" si="16"/>
        <v>34806</v>
      </c>
      <c r="X13" s="44">
        <f t="shared" si="17"/>
        <v>47000</v>
      </c>
      <c r="Y13" s="44">
        <f t="shared" si="18"/>
        <v>0</v>
      </c>
      <c r="Z13" s="114">
        <f t="shared" si="19"/>
        <v>81806</v>
      </c>
      <c r="AA13" s="193">
        <f t="shared" si="1"/>
        <v>11202063</v>
      </c>
      <c r="AB13" s="194">
        <f t="shared" si="1"/>
        <v>1297406</v>
      </c>
      <c r="AC13" s="195">
        <f t="shared" si="2"/>
        <v>0</v>
      </c>
      <c r="AD13" s="61">
        <f>SUM(AA13:AC13)</f>
        <v>12499469</v>
      </c>
      <c r="AE13" s="193">
        <f t="shared" si="3"/>
        <v>1</v>
      </c>
      <c r="AF13" s="194">
        <f t="shared" si="3"/>
        <v>2016</v>
      </c>
      <c r="AG13" s="195">
        <f t="shared" si="4"/>
        <v>0</v>
      </c>
      <c r="AH13" s="61">
        <f t="shared" si="5"/>
        <v>2017</v>
      </c>
      <c r="AI13" s="193">
        <f t="shared" si="6"/>
        <v>11202064</v>
      </c>
      <c r="AJ13" s="194">
        <f t="shared" si="6"/>
        <v>1299422</v>
      </c>
      <c r="AK13" s="195">
        <f t="shared" si="7"/>
        <v>0</v>
      </c>
      <c r="AL13" s="61">
        <f t="shared" si="8"/>
        <v>12501486</v>
      </c>
    </row>
    <row r="14" spans="1:38" ht="31.5" x14ac:dyDescent="0.25">
      <c r="A14" s="199" t="s">
        <v>337</v>
      </c>
      <c r="B14" s="200"/>
      <c r="C14" s="120">
        <f>SUM(C9:C13)</f>
        <v>16654465</v>
      </c>
      <c r="D14" s="120">
        <f t="shared" ref="D14:E14" si="20">SUM(D9:D13)</f>
        <v>6304829</v>
      </c>
      <c r="E14" s="120">
        <f t="shared" si="20"/>
        <v>0</v>
      </c>
      <c r="F14" s="120">
        <f t="shared" ref="F14:AD14" si="21">SUM(F9:F13)</f>
        <v>22959294</v>
      </c>
      <c r="G14" s="120">
        <f t="shared" si="21"/>
        <v>-77992</v>
      </c>
      <c r="H14" s="120">
        <f t="shared" si="21"/>
        <v>-17199</v>
      </c>
      <c r="I14" s="120">
        <f t="shared" si="21"/>
        <v>0</v>
      </c>
      <c r="J14" s="120">
        <f t="shared" si="21"/>
        <v>-95191</v>
      </c>
      <c r="K14" s="120">
        <f t="shared" si="21"/>
        <v>16576473</v>
      </c>
      <c r="L14" s="120">
        <f t="shared" si="21"/>
        <v>6287630</v>
      </c>
      <c r="M14" s="120">
        <f t="shared" si="21"/>
        <v>0</v>
      </c>
      <c r="N14" s="120">
        <f t="shared" si="21"/>
        <v>22864103</v>
      </c>
      <c r="O14" s="120">
        <f t="shared" si="21"/>
        <v>11104022</v>
      </c>
      <c r="P14" s="120">
        <f t="shared" si="21"/>
        <v>2697690</v>
      </c>
      <c r="Q14" s="120">
        <f t="shared" si="21"/>
        <v>927413</v>
      </c>
      <c r="R14" s="120">
        <f t="shared" si="21"/>
        <v>14729125</v>
      </c>
      <c r="S14" s="120">
        <f t="shared" si="21"/>
        <v>177434</v>
      </c>
      <c r="T14" s="120">
        <f t="shared" si="21"/>
        <v>14495</v>
      </c>
      <c r="U14" s="120">
        <f t="shared" si="21"/>
        <v>0</v>
      </c>
      <c r="V14" s="120">
        <f t="shared" si="21"/>
        <v>191929</v>
      </c>
      <c r="W14" s="120">
        <f t="shared" si="21"/>
        <v>11281456</v>
      </c>
      <c r="X14" s="120">
        <f t="shared" si="21"/>
        <v>2712185</v>
      </c>
      <c r="Y14" s="120">
        <f t="shared" si="21"/>
        <v>927413</v>
      </c>
      <c r="Z14" s="120">
        <f t="shared" si="21"/>
        <v>14921054</v>
      </c>
      <c r="AA14" s="120">
        <f t="shared" si="21"/>
        <v>27758487</v>
      </c>
      <c r="AB14" s="120">
        <f t="shared" si="21"/>
        <v>9002519</v>
      </c>
      <c r="AC14" s="120">
        <f t="shared" si="21"/>
        <v>927413</v>
      </c>
      <c r="AD14" s="120">
        <f t="shared" si="21"/>
        <v>37688419</v>
      </c>
      <c r="AE14" s="120">
        <f t="shared" ref="AE14:AL14" si="22">SUM(AE9:AE13)</f>
        <v>99442</v>
      </c>
      <c r="AF14" s="120">
        <f t="shared" si="22"/>
        <v>-2704</v>
      </c>
      <c r="AG14" s="120">
        <f t="shared" si="22"/>
        <v>0</v>
      </c>
      <c r="AH14" s="120">
        <f t="shared" si="22"/>
        <v>96738</v>
      </c>
      <c r="AI14" s="120">
        <f t="shared" si="22"/>
        <v>27857929</v>
      </c>
      <c r="AJ14" s="120">
        <f t="shared" si="22"/>
        <v>8999815</v>
      </c>
      <c r="AK14" s="120">
        <f t="shared" si="22"/>
        <v>927413</v>
      </c>
      <c r="AL14" s="120">
        <f t="shared" si="22"/>
        <v>37785157</v>
      </c>
    </row>
    <row r="15" spans="1:38" x14ac:dyDescent="0.25">
      <c r="A15" s="43" t="s">
        <v>161</v>
      </c>
      <c r="B15" s="43" t="s">
        <v>158</v>
      </c>
      <c r="C15" s="114">
        <v>7175246</v>
      </c>
      <c r="D15" s="44">
        <v>16186675</v>
      </c>
      <c r="E15" s="44"/>
      <c r="F15" s="44">
        <f>SUM(C15:E15)</f>
        <v>23361921</v>
      </c>
      <c r="G15" s="44">
        <v>78438</v>
      </c>
      <c r="H15" s="44">
        <v>17443</v>
      </c>
      <c r="I15" s="44"/>
      <c r="J15" s="114">
        <f t="shared" si="10"/>
        <v>95881</v>
      </c>
      <c r="K15" s="44">
        <f t="shared" ref="K15:K17" si="23">SUM(C15+G15)</f>
        <v>7253684</v>
      </c>
      <c r="L15" s="44">
        <f t="shared" ref="L15:L17" si="24">SUM(D15+H15)</f>
        <v>16204118</v>
      </c>
      <c r="M15" s="44">
        <f t="shared" ref="M15:M17" si="25">SUM(E15+I15)</f>
        <v>0</v>
      </c>
      <c r="N15" s="114">
        <f t="shared" ref="N15:N17" si="26">SUM(K15:M15)</f>
        <v>23457802</v>
      </c>
      <c r="O15" s="114">
        <v>186095</v>
      </c>
      <c r="P15" s="44">
        <v>101498</v>
      </c>
      <c r="Q15" s="44">
        <v>59566</v>
      </c>
      <c r="R15" s="44">
        <f>SUM(O15:Q15)</f>
        <v>347159</v>
      </c>
      <c r="S15" s="44">
        <v>28521</v>
      </c>
      <c r="T15" s="44">
        <v>24959</v>
      </c>
      <c r="U15" s="44"/>
      <c r="V15" s="44">
        <f t="shared" si="15"/>
        <v>53480</v>
      </c>
      <c r="W15" s="44">
        <f t="shared" ref="W15:W17" si="27">SUM(O15+S15)</f>
        <v>214616</v>
      </c>
      <c r="X15" s="44">
        <f t="shared" ref="X15:X17" si="28">SUM(P15+T15)</f>
        <v>126457</v>
      </c>
      <c r="Y15" s="44">
        <f t="shared" ref="Y15:Y17" si="29">SUM(Q15+U15)</f>
        <v>59566</v>
      </c>
      <c r="Z15" s="114">
        <f t="shared" ref="Z15:Z17" si="30">SUM(W15:Y15)</f>
        <v>400639</v>
      </c>
      <c r="AA15" s="193">
        <f t="shared" ref="AA15:AB17" si="31">+C15+O15</f>
        <v>7361341</v>
      </c>
      <c r="AB15" s="194">
        <f t="shared" si="31"/>
        <v>16288173</v>
      </c>
      <c r="AC15" s="195">
        <f t="shared" si="2"/>
        <v>59566</v>
      </c>
      <c r="AD15" s="61">
        <f>SUM(AA15:AC15)</f>
        <v>23709080</v>
      </c>
      <c r="AE15" s="193">
        <f t="shared" ref="AE15:AF17" si="32">+G15+S15</f>
        <v>106959</v>
      </c>
      <c r="AF15" s="194">
        <f t="shared" si="32"/>
        <v>42402</v>
      </c>
      <c r="AG15" s="195">
        <f t="shared" ref="AG15:AG20" si="33">SUM(U15+I15)</f>
        <v>0</v>
      </c>
      <c r="AH15" s="61">
        <f t="shared" ref="AH15:AH17" si="34">SUM(AE15:AG15)</f>
        <v>149361</v>
      </c>
      <c r="AI15" s="193">
        <f t="shared" ref="AI15:AJ17" si="35">+K15+W15</f>
        <v>7468300</v>
      </c>
      <c r="AJ15" s="194">
        <f t="shared" si="35"/>
        <v>16330575</v>
      </c>
      <c r="AK15" s="195">
        <f t="shared" ref="AK15:AK20" si="36">SUM(Y15+M15)</f>
        <v>59566</v>
      </c>
      <c r="AL15" s="61">
        <f t="shared" ref="AL15:AL17" si="37">SUM(AI15:AK15)</f>
        <v>23858441</v>
      </c>
    </row>
    <row r="16" spans="1:38" x14ac:dyDescent="0.25">
      <c r="A16" s="43" t="s">
        <v>162</v>
      </c>
      <c r="B16" s="43" t="s">
        <v>159</v>
      </c>
      <c r="C16" s="114">
        <v>331447</v>
      </c>
      <c r="D16" s="44">
        <v>20000</v>
      </c>
      <c r="E16" s="44"/>
      <c r="F16" s="44">
        <f>SUM(C16:E16)</f>
        <v>351447</v>
      </c>
      <c r="G16" s="44"/>
      <c r="H16" s="44"/>
      <c r="I16" s="44"/>
      <c r="J16" s="44">
        <f t="shared" si="10"/>
        <v>0</v>
      </c>
      <c r="K16" s="44">
        <f t="shared" si="23"/>
        <v>331447</v>
      </c>
      <c r="L16" s="44">
        <f t="shared" si="24"/>
        <v>20000</v>
      </c>
      <c r="M16" s="44">
        <f t="shared" si="25"/>
        <v>0</v>
      </c>
      <c r="N16" s="114">
        <f t="shared" si="26"/>
        <v>351447</v>
      </c>
      <c r="O16" s="114">
        <v>8352</v>
      </c>
      <c r="P16" s="44">
        <v>677</v>
      </c>
      <c r="Q16" s="44">
        <v>2351</v>
      </c>
      <c r="R16" s="44">
        <f>SUM(O16:Q16)</f>
        <v>11380</v>
      </c>
      <c r="S16" s="44">
        <v>10582</v>
      </c>
      <c r="T16" s="44"/>
      <c r="U16" s="44"/>
      <c r="V16" s="44">
        <f t="shared" si="15"/>
        <v>10582</v>
      </c>
      <c r="W16" s="44">
        <f t="shared" si="27"/>
        <v>18934</v>
      </c>
      <c r="X16" s="44">
        <f t="shared" si="28"/>
        <v>677</v>
      </c>
      <c r="Y16" s="44">
        <f t="shared" si="29"/>
        <v>2351</v>
      </c>
      <c r="Z16" s="114">
        <f t="shared" si="30"/>
        <v>21962</v>
      </c>
      <c r="AA16" s="193">
        <f t="shared" si="31"/>
        <v>339799</v>
      </c>
      <c r="AB16" s="194">
        <f t="shared" si="31"/>
        <v>20677</v>
      </c>
      <c r="AC16" s="195">
        <f t="shared" si="2"/>
        <v>2351</v>
      </c>
      <c r="AD16" s="61">
        <f>SUM(AA16:AC16)</f>
        <v>362827</v>
      </c>
      <c r="AE16" s="193">
        <f t="shared" si="32"/>
        <v>10582</v>
      </c>
      <c r="AF16" s="194">
        <f t="shared" si="32"/>
        <v>0</v>
      </c>
      <c r="AG16" s="195">
        <f t="shared" si="33"/>
        <v>0</v>
      </c>
      <c r="AH16" s="61">
        <f t="shared" si="34"/>
        <v>10582</v>
      </c>
      <c r="AI16" s="193">
        <f t="shared" si="35"/>
        <v>350381</v>
      </c>
      <c r="AJ16" s="194">
        <f t="shared" si="35"/>
        <v>20677</v>
      </c>
      <c r="AK16" s="195">
        <f t="shared" si="36"/>
        <v>2351</v>
      </c>
      <c r="AL16" s="61">
        <f t="shared" si="37"/>
        <v>373409</v>
      </c>
    </row>
    <row r="17" spans="1:38" x14ac:dyDescent="0.25">
      <c r="A17" s="43" t="s">
        <v>266</v>
      </c>
      <c r="B17" s="43" t="s">
        <v>160</v>
      </c>
      <c r="C17" s="114">
        <v>2093218</v>
      </c>
      <c r="D17" s="44">
        <v>590615</v>
      </c>
      <c r="E17" s="44"/>
      <c r="F17" s="44">
        <f>SUM(C17:E17)</f>
        <v>2683833</v>
      </c>
      <c r="G17" s="44"/>
      <c r="H17" s="44">
        <v>100</v>
      </c>
      <c r="I17" s="44"/>
      <c r="J17" s="44">
        <f t="shared" si="10"/>
        <v>100</v>
      </c>
      <c r="K17" s="44">
        <f t="shared" si="23"/>
        <v>2093218</v>
      </c>
      <c r="L17" s="44">
        <f t="shared" si="24"/>
        <v>590715</v>
      </c>
      <c r="M17" s="44">
        <f t="shared" si="25"/>
        <v>0</v>
      </c>
      <c r="N17" s="114">
        <f t="shared" si="26"/>
        <v>2683933</v>
      </c>
      <c r="O17" s="114">
        <v>0</v>
      </c>
      <c r="P17" s="44">
        <v>0</v>
      </c>
      <c r="Q17" s="44">
        <v>0</v>
      </c>
      <c r="R17" s="44">
        <f>SUM(O17:Q17)</f>
        <v>0</v>
      </c>
      <c r="S17" s="44">
        <v>0</v>
      </c>
      <c r="T17" s="44">
        <v>0</v>
      </c>
      <c r="U17" s="44"/>
      <c r="V17" s="44">
        <f t="shared" si="15"/>
        <v>0</v>
      </c>
      <c r="W17" s="44">
        <f t="shared" si="27"/>
        <v>0</v>
      </c>
      <c r="X17" s="44">
        <f t="shared" si="28"/>
        <v>0</v>
      </c>
      <c r="Y17" s="44">
        <f t="shared" si="29"/>
        <v>0</v>
      </c>
      <c r="Z17" s="114">
        <f t="shared" si="30"/>
        <v>0</v>
      </c>
      <c r="AA17" s="193">
        <f t="shared" si="31"/>
        <v>2093218</v>
      </c>
      <c r="AB17" s="194">
        <f t="shared" si="31"/>
        <v>590615</v>
      </c>
      <c r="AC17" s="195">
        <f t="shared" si="2"/>
        <v>0</v>
      </c>
      <c r="AD17" s="61">
        <f>SUM(AA17:AC17)</f>
        <v>2683833</v>
      </c>
      <c r="AE17" s="193">
        <f t="shared" si="32"/>
        <v>0</v>
      </c>
      <c r="AF17" s="194">
        <f t="shared" si="32"/>
        <v>100</v>
      </c>
      <c r="AG17" s="195">
        <f t="shared" si="33"/>
        <v>0</v>
      </c>
      <c r="AH17" s="61">
        <f t="shared" si="34"/>
        <v>100</v>
      </c>
      <c r="AI17" s="193">
        <f t="shared" si="35"/>
        <v>2093218</v>
      </c>
      <c r="AJ17" s="194">
        <f t="shared" si="35"/>
        <v>590715</v>
      </c>
      <c r="AK17" s="195">
        <f t="shared" si="36"/>
        <v>0</v>
      </c>
      <c r="AL17" s="61">
        <f t="shared" si="37"/>
        <v>2683933</v>
      </c>
    </row>
    <row r="18" spans="1:38" ht="31.5" x14ac:dyDescent="0.25">
      <c r="A18" s="199" t="s">
        <v>338</v>
      </c>
      <c r="B18" s="201"/>
      <c r="C18" s="121">
        <f t="shared" ref="C18:E18" si="38">SUM(C15:C17)</f>
        <v>9599911</v>
      </c>
      <c r="D18" s="121">
        <f t="shared" si="38"/>
        <v>16797290</v>
      </c>
      <c r="E18" s="121">
        <f t="shared" si="38"/>
        <v>0</v>
      </c>
      <c r="F18" s="121">
        <f t="shared" ref="F18:AB18" si="39">SUM(F15:F17)</f>
        <v>26397201</v>
      </c>
      <c r="G18" s="121">
        <f t="shared" si="39"/>
        <v>78438</v>
      </c>
      <c r="H18" s="121">
        <f t="shared" si="39"/>
        <v>17543</v>
      </c>
      <c r="I18" s="121">
        <f t="shared" si="39"/>
        <v>0</v>
      </c>
      <c r="J18" s="121">
        <f t="shared" si="39"/>
        <v>95981</v>
      </c>
      <c r="K18" s="121">
        <f t="shared" si="39"/>
        <v>9678349</v>
      </c>
      <c r="L18" s="121">
        <f t="shared" si="39"/>
        <v>16814833</v>
      </c>
      <c r="M18" s="121">
        <f t="shared" si="39"/>
        <v>0</v>
      </c>
      <c r="N18" s="120">
        <f t="shared" si="39"/>
        <v>26493182</v>
      </c>
      <c r="O18" s="120">
        <f t="shared" si="39"/>
        <v>194447</v>
      </c>
      <c r="P18" s="121">
        <f t="shared" si="39"/>
        <v>102175</v>
      </c>
      <c r="Q18" s="121">
        <f t="shared" si="39"/>
        <v>61917</v>
      </c>
      <c r="R18" s="121">
        <f t="shared" si="39"/>
        <v>358539</v>
      </c>
      <c r="S18" s="121">
        <f t="shared" si="39"/>
        <v>39103</v>
      </c>
      <c r="T18" s="121">
        <f t="shared" si="39"/>
        <v>24959</v>
      </c>
      <c r="U18" s="121">
        <f t="shared" si="39"/>
        <v>0</v>
      </c>
      <c r="V18" s="121">
        <f t="shared" si="39"/>
        <v>64062</v>
      </c>
      <c r="W18" s="121">
        <f t="shared" si="39"/>
        <v>233550</v>
      </c>
      <c r="X18" s="121">
        <f t="shared" si="39"/>
        <v>127134</v>
      </c>
      <c r="Y18" s="121">
        <f t="shared" si="39"/>
        <v>61917</v>
      </c>
      <c r="Z18" s="120">
        <f t="shared" si="39"/>
        <v>422601</v>
      </c>
      <c r="AA18" s="121">
        <f t="shared" si="39"/>
        <v>9794358</v>
      </c>
      <c r="AB18" s="202">
        <f t="shared" si="39"/>
        <v>16899465</v>
      </c>
      <c r="AC18" s="195">
        <f t="shared" si="2"/>
        <v>61917</v>
      </c>
      <c r="AD18" s="203">
        <f>SUM(AD15:AD17)</f>
        <v>26755740</v>
      </c>
      <c r="AE18" s="121">
        <f t="shared" ref="AE18:AF18" si="40">SUM(AE15:AE17)</f>
        <v>117541</v>
      </c>
      <c r="AF18" s="202">
        <f t="shared" si="40"/>
        <v>42502</v>
      </c>
      <c r="AG18" s="195">
        <f t="shared" si="33"/>
        <v>0</v>
      </c>
      <c r="AH18" s="203">
        <f t="shared" ref="AH18:AJ18" si="41">SUM(AH15:AH17)</f>
        <v>160043</v>
      </c>
      <c r="AI18" s="121">
        <f t="shared" si="41"/>
        <v>9911899</v>
      </c>
      <c r="AJ18" s="202">
        <f t="shared" si="41"/>
        <v>16941967</v>
      </c>
      <c r="AK18" s="195">
        <f t="shared" si="36"/>
        <v>61917</v>
      </c>
      <c r="AL18" s="203">
        <f t="shared" ref="AL18" si="42">SUM(AL15:AL17)</f>
        <v>26915783</v>
      </c>
    </row>
    <row r="19" spans="1:38" x14ac:dyDescent="0.25">
      <c r="A19" s="43" t="s">
        <v>205</v>
      </c>
      <c r="B19" s="43"/>
      <c r="C19" s="114">
        <v>0</v>
      </c>
      <c r="D19" s="44">
        <v>221850</v>
      </c>
      <c r="E19" s="44"/>
      <c r="F19" s="44">
        <f>SUM(C19:E19)</f>
        <v>221850</v>
      </c>
      <c r="G19" s="44"/>
      <c r="H19" s="44"/>
      <c r="I19" s="44"/>
      <c r="J19" s="44">
        <f t="shared" si="10"/>
        <v>0</v>
      </c>
      <c r="K19" s="44">
        <f t="shared" ref="K19:K20" si="43">SUM(C19+G19)</f>
        <v>0</v>
      </c>
      <c r="L19" s="44">
        <f t="shared" ref="L19:L20" si="44">SUM(D19+H19)</f>
        <v>221850</v>
      </c>
      <c r="M19" s="44">
        <f t="shared" ref="M19:M20" si="45">SUM(E19+I19)</f>
        <v>0</v>
      </c>
      <c r="N19" s="114">
        <f t="shared" ref="N19:N20" si="46">SUM(K19:M19)</f>
        <v>221850</v>
      </c>
      <c r="O19" s="114">
        <v>0</v>
      </c>
      <c r="P19" s="44">
        <v>0</v>
      </c>
      <c r="Q19" s="44">
        <v>0</v>
      </c>
      <c r="R19" s="44">
        <f>SUM(O19:Q19)</f>
        <v>0</v>
      </c>
      <c r="S19" s="44">
        <v>0</v>
      </c>
      <c r="T19" s="44">
        <v>0</v>
      </c>
      <c r="U19" s="44">
        <v>0</v>
      </c>
      <c r="V19" s="44">
        <f t="shared" si="15"/>
        <v>0</v>
      </c>
      <c r="W19" s="44">
        <f t="shared" ref="W19:W20" si="47">SUM(O19+S19)</f>
        <v>0</v>
      </c>
      <c r="X19" s="44">
        <f t="shared" ref="X19:X20" si="48">SUM(P19+T19)</f>
        <v>0</v>
      </c>
      <c r="Y19" s="44">
        <f t="shared" ref="Y19:Y20" si="49">SUM(Q19+U19)</f>
        <v>0</v>
      </c>
      <c r="Z19" s="114">
        <f t="shared" ref="Z19:Z20" si="50">SUM(W19:Y19)</f>
        <v>0</v>
      </c>
      <c r="AA19" s="193">
        <f>+C19+O19</f>
        <v>0</v>
      </c>
      <c r="AB19" s="194">
        <f>+D19+P19</f>
        <v>221850</v>
      </c>
      <c r="AC19" s="195">
        <f t="shared" si="2"/>
        <v>0</v>
      </c>
      <c r="AD19" s="61">
        <f>SUM(AA19:AC19)</f>
        <v>221850</v>
      </c>
      <c r="AE19" s="193">
        <f>+G19+S19</f>
        <v>0</v>
      </c>
      <c r="AF19" s="194">
        <f t="shared" ref="AE19:AF20" si="51">+H19+T19</f>
        <v>0</v>
      </c>
      <c r="AG19" s="195">
        <f t="shared" si="33"/>
        <v>0</v>
      </c>
      <c r="AH19" s="61">
        <f t="shared" ref="AH19:AH20" si="52">SUM(AE19:AG19)</f>
        <v>0</v>
      </c>
      <c r="AI19" s="193">
        <f t="shared" ref="AI19:AJ20" si="53">+K19+W19</f>
        <v>0</v>
      </c>
      <c r="AJ19" s="194">
        <f t="shared" si="53"/>
        <v>221850</v>
      </c>
      <c r="AK19" s="195">
        <f t="shared" si="36"/>
        <v>0</v>
      </c>
      <c r="AL19" s="61">
        <f t="shared" ref="AL19:AL20" si="54">SUM(AI19:AK19)</f>
        <v>221850</v>
      </c>
    </row>
    <row r="20" spans="1:38" x14ac:dyDescent="0.25">
      <c r="A20" s="43" t="s">
        <v>206</v>
      </c>
      <c r="B20" s="43"/>
      <c r="C20" s="114">
        <v>4180709</v>
      </c>
      <c r="D20" s="44">
        <v>13445</v>
      </c>
      <c r="E20" s="44"/>
      <c r="F20" s="44">
        <f>SUM(C20:E20)</f>
        <v>4194154</v>
      </c>
      <c r="G20" s="44">
        <v>1511250</v>
      </c>
      <c r="H20" s="44">
        <v>-4</v>
      </c>
      <c r="I20" s="44"/>
      <c r="J20" s="44">
        <f t="shared" si="10"/>
        <v>1511246</v>
      </c>
      <c r="K20" s="44">
        <f t="shared" si="43"/>
        <v>5691959</v>
      </c>
      <c r="L20" s="44">
        <f t="shared" si="44"/>
        <v>13441</v>
      </c>
      <c r="M20" s="44">
        <f t="shared" si="45"/>
        <v>0</v>
      </c>
      <c r="N20" s="114">
        <f t="shared" si="46"/>
        <v>5705400</v>
      </c>
      <c r="O20" s="114">
        <v>0</v>
      </c>
      <c r="P20" s="44">
        <v>0</v>
      </c>
      <c r="Q20" s="44">
        <v>0</v>
      </c>
      <c r="R20" s="44">
        <f>SUM(O20:Q20)</f>
        <v>0</v>
      </c>
      <c r="S20" s="44">
        <v>0</v>
      </c>
      <c r="T20" s="44">
        <v>0</v>
      </c>
      <c r="U20" s="44">
        <v>0</v>
      </c>
      <c r="V20" s="44">
        <f t="shared" si="15"/>
        <v>0</v>
      </c>
      <c r="W20" s="44">
        <f t="shared" si="47"/>
        <v>0</v>
      </c>
      <c r="X20" s="44">
        <f t="shared" si="48"/>
        <v>0</v>
      </c>
      <c r="Y20" s="44">
        <f t="shared" si="49"/>
        <v>0</v>
      </c>
      <c r="Z20" s="114">
        <f t="shared" si="50"/>
        <v>0</v>
      </c>
      <c r="AA20" s="193">
        <f>+C20+O20</f>
        <v>4180709</v>
      </c>
      <c r="AB20" s="194">
        <f>+D20+P20</f>
        <v>13445</v>
      </c>
      <c r="AC20" s="195">
        <f t="shared" si="2"/>
        <v>0</v>
      </c>
      <c r="AD20" s="61">
        <f>SUM(AA20:AC20)</f>
        <v>4194154</v>
      </c>
      <c r="AE20" s="193">
        <f t="shared" si="51"/>
        <v>1511250</v>
      </c>
      <c r="AF20" s="194">
        <f t="shared" si="51"/>
        <v>-4</v>
      </c>
      <c r="AG20" s="195">
        <f t="shared" si="33"/>
        <v>0</v>
      </c>
      <c r="AH20" s="61">
        <f t="shared" si="52"/>
        <v>1511246</v>
      </c>
      <c r="AI20" s="193">
        <f t="shared" si="53"/>
        <v>5691959</v>
      </c>
      <c r="AJ20" s="194">
        <f t="shared" si="53"/>
        <v>13441</v>
      </c>
      <c r="AK20" s="195">
        <f t="shared" si="36"/>
        <v>0</v>
      </c>
      <c r="AL20" s="61">
        <f t="shared" si="54"/>
        <v>5705400</v>
      </c>
    </row>
    <row r="21" spans="1:38" s="48" customFormat="1" ht="16.5" thickBot="1" x14ac:dyDescent="0.3">
      <c r="A21" s="46" t="s">
        <v>207</v>
      </c>
      <c r="B21" s="204" t="s">
        <v>314</v>
      </c>
      <c r="C21" s="122">
        <f>C20+C19</f>
        <v>4180709</v>
      </c>
      <c r="D21" s="122">
        <f t="shared" ref="D21:E21" si="55">D20+D19</f>
        <v>235295</v>
      </c>
      <c r="E21" s="122">
        <f t="shared" si="55"/>
        <v>0</v>
      </c>
      <c r="F21" s="122">
        <f t="shared" ref="F21:AD21" si="56">SUM(F19:F20)</f>
        <v>4416004</v>
      </c>
      <c r="G21" s="122">
        <f t="shared" ref="G21:Q21" si="57">SUM(G19:G20)</f>
        <v>1511250</v>
      </c>
      <c r="H21" s="122">
        <f t="shared" si="57"/>
        <v>-4</v>
      </c>
      <c r="I21" s="122">
        <f t="shared" si="57"/>
        <v>0</v>
      </c>
      <c r="J21" s="122">
        <f t="shared" si="57"/>
        <v>1511246</v>
      </c>
      <c r="K21" s="122">
        <f t="shared" si="57"/>
        <v>5691959</v>
      </c>
      <c r="L21" s="122">
        <f t="shared" si="57"/>
        <v>235291</v>
      </c>
      <c r="M21" s="122">
        <f t="shared" si="57"/>
        <v>0</v>
      </c>
      <c r="N21" s="122">
        <f t="shared" si="57"/>
        <v>5927250</v>
      </c>
      <c r="O21" s="122">
        <f t="shared" si="57"/>
        <v>0</v>
      </c>
      <c r="P21" s="122">
        <f t="shared" si="57"/>
        <v>0</v>
      </c>
      <c r="Q21" s="122">
        <f t="shared" si="57"/>
        <v>0</v>
      </c>
      <c r="R21" s="122">
        <f t="shared" si="56"/>
        <v>0</v>
      </c>
      <c r="S21" s="122">
        <f t="shared" ref="S21:Z21" si="58">SUM(S19:S20)</f>
        <v>0</v>
      </c>
      <c r="T21" s="122">
        <f t="shared" si="58"/>
        <v>0</v>
      </c>
      <c r="U21" s="122">
        <f t="shared" si="58"/>
        <v>0</v>
      </c>
      <c r="V21" s="122">
        <f t="shared" si="58"/>
        <v>0</v>
      </c>
      <c r="W21" s="122">
        <f t="shared" si="58"/>
        <v>0</v>
      </c>
      <c r="X21" s="122">
        <f t="shared" si="58"/>
        <v>0</v>
      </c>
      <c r="Y21" s="122">
        <f t="shared" si="58"/>
        <v>0</v>
      </c>
      <c r="Z21" s="122">
        <f t="shared" si="58"/>
        <v>0</v>
      </c>
      <c r="AA21" s="122">
        <f t="shared" si="56"/>
        <v>4180709</v>
      </c>
      <c r="AB21" s="122">
        <f t="shared" si="56"/>
        <v>235295</v>
      </c>
      <c r="AC21" s="122">
        <f t="shared" si="56"/>
        <v>0</v>
      </c>
      <c r="AD21" s="122">
        <f t="shared" si="56"/>
        <v>4416004</v>
      </c>
      <c r="AE21" s="122">
        <f t="shared" ref="AE21:AL21" si="59">SUM(AE19:AE20)</f>
        <v>1511250</v>
      </c>
      <c r="AF21" s="122">
        <f t="shared" si="59"/>
        <v>-4</v>
      </c>
      <c r="AG21" s="122">
        <f t="shared" si="59"/>
        <v>0</v>
      </c>
      <c r="AH21" s="122">
        <f t="shared" si="59"/>
        <v>1511246</v>
      </c>
      <c r="AI21" s="122">
        <f t="shared" si="59"/>
        <v>5691959</v>
      </c>
      <c r="AJ21" s="122">
        <f t="shared" si="59"/>
        <v>235291</v>
      </c>
      <c r="AK21" s="122">
        <f t="shared" si="59"/>
        <v>0</v>
      </c>
      <c r="AL21" s="122">
        <f t="shared" si="59"/>
        <v>5927250</v>
      </c>
    </row>
    <row r="22" spans="1:38" ht="17.25" thickTop="1" thickBot="1" x14ac:dyDescent="0.3">
      <c r="A22" s="109" t="s">
        <v>208</v>
      </c>
      <c r="B22" s="205" t="s">
        <v>271</v>
      </c>
      <c r="C22" s="111">
        <f>+C21+C18+C14</f>
        <v>30435085</v>
      </c>
      <c r="D22" s="111">
        <f t="shared" ref="D22:E22" si="60">+D21+D18+D14</f>
        <v>23337414</v>
      </c>
      <c r="E22" s="111">
        <f t="shared" si="60"/>
        <v>0</v>
      </c>
      <c r="F22" s="111">
        <f t="shared" ref="F22:AD22" si="61">+F21+F18+F14</f>
        <v>53772499</v>
      </c>
      <c r="G22" s="111">
        <f t="shared" ref="G22:Q22" si="62">+G21+G18+G14</f>
        <v>1511696</v>
      </c>
      <c r="H22" s="111">
        <f t="shared" si="62"/>
        <v>340</v>
      </c>
      <c r="I22" s="111">
        <f t="shared" si="62"/>
        <v>0</v>
      </c>
      <c r="J22" s="111">
        <f t="shared" si="62"/>
        <v>1512036</v>
      </c>
      <c r="K22" s="111">
        <f t="shared" si="62"/>
        <v>31946781</v>
      </c>
      <c r="L22" s="111">
        <f t="shared" si="62"/>
        <v>23337754</v>
      </c>
      <c r="M22" s="111">
        <f t="shared" si="62"/>
        <v>0</v>
      </c>
      <c r="N22" s="111">
        <f t="shared" si="62"/>
        <v>55284535</v>
      </c>
      <c r="O22" s="111">
        <f t="shared" si="62"/>
        <v>11298469</v>
      </c>
      <c r="P22" s="111">
        <f t="shared" si="62"/>
        <v>2799865</v>
      </c>
      <c r="Q22" s="111">
        <f t="shared" si="62"/>
        <v>989330</v>
      </c>
      <c r="R22" s="111">
        <f t="shared" si="61"/>
        <v>15087664</v>
      </c>
      <c r="S22" s="111">
        <f t="shared" ref="S22:Z22" si="63">+S21+S18+S14</f>
        <v>216537</v>
      </c>
      <c r="T22" s="111">
        <f t="shared" si="63"/>
        <v>39454</v>
      </c>
      <c r="U22" s="111">
        <f t="shared" si="63"/>
        <v>0</v>
      </c>
      <c r="V22" s="111">
        <f t="shared" si="63"/>
        <v>255991</v>
      </c>
      <c r="W22" s="111">
        <f t="shared" si="63"/>
        <v>11515006</v>
      </c>
      <c r="X22" s="111">
        <f t="shared" si="63"/>
        <v>2839319</v>
      </c>
      <c r="Y22" s="111">
        <f t="shared" si="63"/>
        <v>989330</v>
      </c>
      <c r="Z22" s="111">
        <f t="shared" si="63"/>
        <v>15343655</v>
      </c>
      <c r="AA22" s="111">
        <f t="shared" si="61"/>
        <v>41733554</v>
      </c>
      <c r="AB22" s="111">
        <f t="shared" si="61"/>
        <v>26137279</v>
      </c>
      <c r="AC22" s="111">
        <f t="shared" si="61"/>
        <v>989330</v>
      </c>
      <c r="AD22" s="111">
        <f t="shared" si="61"/>
        <v>68860163</v>
      </c>
      <c r="AE22" s="111">
        <f t="shared" ref="AE22:AL22" si="64">+AE21+AE18+AE14</f>
        <v>1728233</v>
      </c>
      <c r="AF22" s="111">
        <f t="shared" si="64"/>
        <v>39794</v>
      </c>
      <c r="AG22" s="111">
        <f t="shared" si="64"/>
        <v>0</v>
      </c>
      <c r="AH22" s="111">
        <f t="shared" si="64"/>
        <v>1768027</v>
      </c>
      <c r="AI22" s="111">
        <f t="shared" si="64"/>
        <v>43461787</v>
      </c>
      <c r="AJ22" s="111">
        <f t="shared" si="64"/>
        <v>26177073</v>
      </c>
      <c r="AK22" s="111">
        <f t="shared" si="64"/>
        <v>989330</v>
      </c>
      <c r="AL22" s="111">
        <f t="shared" si="64"/>
        <v>70628190</v>
      </c>
    </row>
    <row r="23" spans="1:38" ht="32.25" thickTop="1" x14ac:dyDescent="0.25">
      <c r="A23" s="387" t="s">
        <v>781</v>
      </c>
      <c r="B23" s="388" t="s">
        <v>454</v>
      </c>
      <c r="C23" s="513">
        <v>163966</v>
      </c>
      <c r="D23" s="513">
        <v>0</v>
      </c>
      <c r="E23" s="513">
        <v>0</v>
      </c>
      <c r="F23" s="389">
        <f>SUM(C23:E23)</f>
        <v>163966</v>
      </c>
      <c r="G23" s="389"/>
      <c r="H23" s="389"/>
      <c r="I23" s="389"/>
      <c r="J23" s="389">
        <f>SUM(G23:I23)</f>
        <v>0</v>
      </c>
      <c r="K23" s="389">
        <f t="shared" ref="K23" si="65">SUM(C23+G23)</f>
        <v>163966</v>
      </c>
      <c r="L23" s="389">
        <f t="shared" ref="L23" si="66">SUM(D23+H23)</f>
        <v>0</v>
      </c>
      <c r="M23" s="389">
        <f t="shared" ref="M23" si="67">SUM(E23+I23)</f>
        <v>0</v>
      </c>
      <c r="N23" s="389">
        <f t="shared" ref="N23" si="68">SUM(K23:M23)</f>
        <v>163966</v>
      </c>
      <c r="O23" s="513">
        <v>0</v>
      </c>
      <c r="P23" s="513">
        <v>0</v>
      </c>
      <c r="Q23" s="513">
        <v>0</v>
      </c>
      <c r="R23" s="389">
        <f>SUM(O23:Q23)</f>
        <v>0</v>
      </c>
      <c r="S23" s="389"/>
      <c r="T23" s="389"/>
      <c r="U23" s="389"/>
      <c r="V23" s="389">
        <f>SUM(S23:U23)</f>
        <v>0</v>
      </c>
      <c r="W23" s="389">
        <f t="shared" ref="W23" si="69">SUM(O23+S23)</f>
        <v>0</v>
      </c>
      <c r="X23" s="389">
        <f t="shared" ref="X23" si="70">SUM(P23+T23)</f>
        <v>0</v>
      </c>
      <c r="Y23" s="389">
        <f t="shared" ref="Y23" si="71">SUM(Q23+U23)</f>
        <v>0</v>
      </c>
      <c r="Z23" s="389">
        <f t="shared" ref="Z23" si="72">SUM(W23:Y23)</f>
        <v>0</v>
      </c>
      <c r="AA23" s="389">
        <f t="shared" ref="AA23:AD23" si="73">SUM(O23+C23)</f>
        <v>163966</v>
      </c>
      <c r="AB23" s="389">
        <f t="shared" si="73"/>
        <v>0</v>
      </c>
      <c r="AC23" s="389">
        <f t="shared" si="73"/>
        <v>0</v>
      </c>
      <c r="AD23" s="389">
        <f t="shared" si="73"/>
        <v>163966</v>
      </c>
      <c r="AE23" s="389">
        <f t="shared" ref="AE23:AL23" si="74">SUM(S23+G23)</f>
        <v>0</v>
      </c>
      <c r="AF23" s="389">
        <f t="shared" si="74"/>
        <v>0</v>
      </c>
      <c r="AG23" s="389">
        <f t="shared" si="74"/>
        <v>0</v>
      </c>
      <c r="AH23" s="389">
        <f t="shared" si="74"/>
        <v>0</v>
      </c>
      <c r="AI23" s="389">
        <f t="shared" si="74"/>
        <v>163966</v>
      </c>
      <c r="AJ23" s="389">
        <f t="shared" si="74"/>
        <v>0</v>
      </c>
      <c r="AK23" s="389">
        <f t="shared" si="74"/>
        <v>0</v>
      </c>
      <c r="AL23" s="389">
        <f t="shared" si="74"/>
        <v>163966</v>
      </c>
    </row>
    <row r="24" spans="1:38" ht="16.5" thickBot="1" x14ac:dyDescent="0.3">
      <c r="A24" s="390" t="s">
        <v>779</v>
      </c>
      <c r="B24" s="391" t="s">
        <v>312</v>
      </c>
      <c r="C24" s="206">
        <v>8637365</v>
      </c>
      <c r="D24" s="206">
        <v>1941268</v>
      </c>
      <c r="E24" s="206">
        <v>910156</v>
      </c>
      <c r="F24" s="389">
        <f>SUM(C24:E24)</f>
        <v>11488789</v>
      </c>
      <c r="G24" s="206">
        <v>35807</v>
      </c>
      <c r="H24" s="206">
        <v>-453</v>
      </c>
      <c r="I24" s="206"/>
      <c r="J24" s="389">
        <f>SUM(G24:I24)</f>
        <v>35354</v>
      </c>
      <c r="K24" s="389">
        <f t="shared" ref="K24" si="75">SUM(C24+G24)</f>
        <v>8673172</v>
      </c>
      <c r="L24" s="389">
        <f t="shared" ref="L24" si="76">SUM(D24+H24)</f>
        <v>1940815</v>
      </c>
      <c r="M24" s="389">
        <f t="shared" ref="M24" si="77">SUM(E24+I24)</f>
        <v>910156</v>
      </c>
      <c r="N24" s="389">
        <f t="shared" ref="N24" si="78">SUM(K24:M24)</f>
        <v>11524143</v>
      </c>
      <c r="O24" s="206">
        <v>0</v>
      </c>
      <c r="P24" s="206">
        <v>0</v>
      </c>
      <c r="Q24" s="206">
        <v>0</v>
      </c>
      <c r="R24" s="389">
        <f>SUM(O24:Q24)</f>
        <v>0</v>
      </c>
      <c r="S24" s="206"/>
      <c r="T24" s="206"/>
      <c r="U24" s="206"/>
      <c r="V24" s="389">
        <f>SUM(S24:U24)</f>
        <v>0</v>
      </c>
      <c r="W24" s="389">
        <f t="shared" ref="W24" si="79">SUM(O24+S24)</f>
        <v>0</v>
      </c>
      <c r="X24" s="389">
        <f t="shared" ref="X24" si="80">SUM(P24+T24)</f>
        <v>0</v>
      </c>
      <c r="Y24" s="389">
        <f t="shared" ref="Y24" si="81">SUM(Q24+U24)</f>
        <v>0</v>
      </c>
      <c r="Z24" s="389">
        <f t="shared" ref="Z24" si="82">SUM(W24:Y24)</f>
        <v>0</v>
      </c>
      <c r="AA24" s="389">
        <f t="shared" ref="AA24" si="83">SUM(O24+C24)</f>
        <v>8637365</v>
      </c>
      <c r="AB24" s="389">
        <f t="shared" ref="AB24" si="84">SUM(P24+D24)</f>
        <v>1941268</v>
      </c>
      <c r="AC24" s="389">
        <f t="shared" ref="AC24" si="85">SUM(Q24+E24)</f>
        <v>910156</v>
      </c>
      <c r="AD24" s="389">
        <f t="shared" ref="AD24" si="86">SUM(R24+F24)</f>
        <v>11488789</v>
      </c>
      <c r="AE24" s="389">
        <f t="shared" ref="AE24" si="87">SUM(S24+G24)</f>
        <v>35807</v>
      </c>
      <c r="AF24" s="389">
        <f t="shared" ref="AF24" si="88">SUM(T24+H24)</f>
        <v>-453</v>
      </c>
      <c r="AG24" s="389">
        <f t="shared" ref="AG24" si="89">SUM(U24+I24)</f>
        <v>0</v>
      </c>
      <c r="AH24" s="389">
        <f t="shared" ref="AH24" si="90">SUM(V24+J24)</f>
        <v>35354</v>
      </c>
      <c r="AI24" s="389">
        <f t="shared" ref="AI24" si="91">SUM(W24+K24)</f>
        <v>8673172</v>
      </c>
      <c r="AJ24" s="389">
        <f t="shared" ref="AJ24" si="92">SUM(X24+L24)</f>
        <v>1940815</v>
      </c>
      <c r="AK24" s="389">
        <f t="shared" ref="AK24" si="93">SUM(Y24+M24)</f>
        <v>910156</v>
      </c>
      <c r="AL24" s="389">
        <f t="shared" ref="AL24" si="94">SUM(Z24+N24)</f>
        <v>11524143</v>
      </c>
    </row>
    <row r="25" spans="1:38" ht="17.25" thickTop="1" thickBot="1" x14ac:dyDescent="0.3">
      <c r="A25" s="207" t="s">
        <v>780</v>
      </c>
      <c r="B25" s="208" t="s">
        <v>209</v>
      </c>
      <c r="C25" s="123">
        <f t="shared" ref="C25:AL25" si="95">SUM(C23:C24)</f>
        <v>8801331</v>
      </c>
      <c r="D25" s="123">
        <f t="shared" si="95"/>
        <v>1941268</v>
      </c>
      <c r="E25" s="123">
        <f t="shared" si="95"/>
        <v>910156</v>
      </c>
      <c r="F25" s="123">
        <f t="shared" si="95"/>
        <v>11652755</v>
      </c>
      <c r="G25" s="123">
        <f t="shared" si="95"/>
        <v>35807</v>
      </c>
      <c r="H25" s="123">
        <f t="shared" si="95"/>
        <v>-453</v>
      </c>
      <c r="I25" s="123">
        <f t="shared" si="95"/>
        <v>0</v>
      </c>
      <c r="J25" s="123">
        <f t="shared" si="95"/>
        <v>35354</v>
      </c>
      <c r="K25" s="123">
        <f t="shared" si="95"/>
        <v>8837138</v>
      </c>
      <c r="L25" s="123">
        <f t="shared" si="95"/>
        <v>1940815</v>
      </c>
      <c r="M25" s="123">
        <f t="shared" si="95"/>
        <v>910156</v>
      </c>
      <c r="N25" s="123">
        <f t="shared" si="95"/>
        <v>11688109</v>
      </c>
      <c r="O25" s="123">
        <f t="shared" si="95"/>
        <v>0</v>
      </c>
      <c r="P25" s="123">
        <f t="shared" si="95"/>
        <v>0</v>
      </c>
      <c r="Q25" s="123">
        <f t="shared" si="95"/>
        <v>0</v>
      </c>
      <c r="R25" s="123">
        <f t="shared" si="95"/>
        <v>0</v>
      </c>
      <c r="S25" s="123">
        <f t="shared" si="95"/>
        <v>0</v>
      </c>
      <c r="T25" s="123">
        <f t="shared" si="95"/>
        <v>0</v>
      </c>
      <c r="U25" s="123">
        <f t="shared" si="95"/>
        <v>0</v>
      </c>
      <c r="V25" s="123">
        <f t="shared" si="95"/>
        <v>0</v>
      </c>
      <c r="W25" s="123">
        <f t="shared" si="95"/>
        <v>0</v>
      </c>
      <c r="X25" s="123">
        <f t="shared" si="95"/>
        <v>0</v>
      </c>
      <c r="Y25" s="123">
        <f t="shared" si="95"/>
        <v>0</v>
      </c>
      <c r="Z25" s="123">
        <f t="shared" si="95"/>
        <v>0</v>
      </c>
      <c r="AA25" s="123">
        <f t="shared" si="95"/>
        <v>8801331</v>
      </c>
      <c r="AB25" s="123">
        <f t="shared" si="95"/>
        <v>1941268</v>
      </c>
      <c r="AC25" s="123">
        <f t="shared" si="95"/>
        <v>910156</v>
      </c>
      <c r="AD25" s="123">
        <f t="shared" si="95"/>
        <v>11652755</v>
      </c>
      <c r="AE25" s="123">
        <f t="shared" si="95"/>
        <v>35807</v>
      </c>
      <c r="AF25" s="123">
        <f t="shared" si="95"/>
        <v>-453</v>
      </c>
      <c r="AG25" s="123">
        <f t="shared" si="95"/>
        <v>0</v>
      </c>
      <c r="AH25" s="123">
        <f t="shared" si="95"/>
        <v>35354</v>
      </c>
      <c r="AI25" s="123">
        <f t="shared" si="95"/>
        <v>8837138</v>
      </c>
      <c r="AJ25" s="123">
        <f t="shared" si="95"/>
        <v>1940815</v>
      </c>
      <c r="AK25" s="123">
        <f t="shared" si="95"/>
        <v>910156</v>
      </c>
      <c r="AL25" s="123">
        <f t="shared" si="95"/>
        <v>11688109</v>
      </c>
    </row>
    <row r="26" spans="1:38" ht="17.25" thickTop="1" thickBot="1" x14ac:dyDescent="0.3">
      <c r="A26" s="109" t="s">
        <v>336</v>
      </c>
      <c r="B26" s="110"/>
      <c r="C26" s="111"/>
      <c r="D26" s="111"/>
      <c r="E26" s="111"/>
      <c r="F26" s="111"/>
      <c r="G26" s="111"/>
      <c r="H26" s="111"/>
      <c r="I26" s="111"/>
      <c r="J26" s="111"/>
      <c r="K26" s="111"/>
      <c r="L26" s="111"/>
      <c r="M26" s="111"/>
      <c r="N26" s="111"/>
      <c r="O26" s="111"/>
      <c r="P26" s="111"/>
      <c r="Q26" s="111"/>
      <c r="R26" s="112">
        <v>1928.68</v>
      </c>
      <c r="S26" s="112"/>
      <c r="T26" s="112"/>
      <c r="U26" s="112"/>
      <c r="V26" s="112">
        <v>0</v>
      </c>
      <c r="W26" s="112"/>
      <c r="X26" s="112"/>
      <c r="Y26" s="112"/>
      <c r="Z26" s="112">
        <f>SUM(R26+V26)</f>
        <v>1928.68</v>
      </c>
      <c r="AA26" s="111"/>
      <c r="AB26" s="111"/>
      <c r="AC26" s="111"/>
      <c r="AD26" s="112">
        <f>SUM(R26)</f>
        <v>1928.68</v>
      </c>
      <c r="AE26" s="111"/>
      <c r="AF26" s="111"/>
      <c r="AG26" s="111"/>
      <c r="AH26" s="112">
        <f>SUM(V26)</f>
        <v>0</v>
      </c>
      <c r="AI26" s="111"/>
      <c r="AJ26" s="111"/>
      <c r="AK26" s="111"/>
      <c r="AL26" s="112">
        <f t="shared" ref="AL26" si="96">SUM(Z26)</f>
        <v>1928.68</v>
      </c>
    </row>
    <row r="27" spans="1:38" ht="16.5" thickTop="1" x14ac:dyDescent="0.25">
      <c r="A27" s="116"/>
      <c r="B27" s="116"/>
      <c r="C27" s="45"/>
      <c r="D27" s="45"/>
      <c r="E27" s="45"/>
      <c r="F27" s="45"/>
      <c r="G27" s="45"/>
      <c r="H27" s="45"/>
      <c r="I27" s="45"/>
      <c r="J27" s="45"/>
      <c r="K27" s="45"/>
      <c r="L27" s="45"/>
      <c r="M27" s="45"/>
      <c r="N27" s="45"/>
      <c r="O27" s="45"/>
      <c r="P27" s="45"/>
      <c r="Q27" s="45"/>
      <c r="R27" s="45"/>
      <c r="S27" s="45"/>
      <c r="T27" s="45"/>
      <c r="U27" s="45"/>
      <c r="V27" s="45"/>
      <c r="W27" s="45"/>
      <c r="X27" s="45"/>
      <c r="Y27" s="45"/>
      <c r="Z27" s="45"/>
      <c r="AA27" s="45"/>
      <c r="AB27" s="45"/>
      <c r="AC27" s="45"/>
      <c r="AD27" s="45"/>
      <c r="AE27" s="45"/>
      <c r="AF27" s="45"/>
      <c r="AG27" s="45"/>
      <c r="AH27" s="45"/>
      <c r="AI27" s="45"/>
      <c r="AJ27" s="45"/>
      <c r="AK27" s="45"/>
      <c r="AL27" s="45"/>
    </row>
    <row r="28" spans="1:38" x14ac:dyDescent="0.25">
      <c r="A28" s="116"/>
      <c r="B28" s="116"/>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45"/>
      <c r="AH28" s="45"/>
      <c r="AI28" s="45"/>
      <c r="AJ28" s="45"/>
      <c r="AK28" s="45"/>
      <c r="AL28" s="45"/>
    </row>
    <row r="29" spans="1:38" x14ac:dyDescent="0.25">
      <c r="A29" s="116"/>
      <c r="B29" s="116"/>
      <c r="C29" s="45"/>
      <c r="D29" s="45"/>
      <c r="E29" s="45"/>
      <c r="F29" s="45"/>
      <c r="G29" s="45"/>
      <c r="H29" s="45"/>
      <c r="I29" s="45"/>
      <c r="J29" s="45"/>
      <c r="K29" s="45"/>
      <c r="L29" s="45"/>
      <c r="M29" s="45"/>
      <c r="N29" s="45"/>
      <c r="O29" s="45"/>
      <c r="P29" s="45"/>
      <c r="Q29" s="45"/>
      <c r="R29" s="45"/>
      <c r="S29" s="45"/>
      <c r="T29" s="45"/>
      <c r="U29" s="45"/>
      <c r="V29" s="45"/>
      <c r="W29" s="45"/>
      <c r="X29" s="45"/>
      <c r="Y29" s="45"/>
      <c r="Z29" s="45"/>
      <c r="AA29" s="45"/>
      <c r="AB29" s="45"/>
      <c r="AC29" s="45"/>
      <c r="AD29" s="45"/>
      <c r="AE29" s="45"/>
      <c r="AF29" s="45"/>
      <c r="AG29" s="45"/>
      <c r="AH29" s="45"/>
      <c r="AI29" s="45"/>
      <c r="AJ29" s="45"/>
      <c r="AK29" s="45"/>
      <c r="AL29" s="45"/>
    </row>
    <row r="30" spans="1:38" x14ac:dyDescent="0.25">
      <c r="A30" s="116"/>
      <c r="B30" s="116"/>
      <c r="C30" s="45"/>
      <c r="D30" s="45"/>
      <c r="E30" s="45"/>
      <c r="F30" s="45"/>
      <c r="G30" s="45"/>
      <c r="H30" s="45"/>
      <c r="I30" s="45"/>
      <c r="J30" s="45"/>
      <c r="K30" s="45"/>
      <c r="L30" s="45"/>
      <c r="M30" s="45"/>
      <c r="N30" s="45"/>
      <c r="O30" s="45"/>
      <c r="P30" s="45"/>
      <c r="Q30" s="45"/>
      <c r="R30" s="45"/>
      <c r="S30" s="45"/>
      <c r="T30" s="45"/>
      <c r="U30" s="45"/>
      <c r="V30" s="45"/>
      <c r="W30" s="45"/>
      <c r="X30" s="45"/>
      <c r="Y30" s="45"/>
      <c r="Z30" s="45"/>
      <c r="AA30" s="45"/>
      <c r="AB30" s="45"/>
      <c r="AC30" s="45"/>
      <c r="AD30" s="45"/>
      <c r="AE30" s="45"/>
      <c r="AF30" s="45"/>
      <c r="AG30" s="45"/>
      <c r="AH30" s="45"/>
      <c r="AI30" s="45"/>
      <c r="AJ30" s="45"/>
      <c r="AK30" s="45"/>
      <c r="AL30" s="45"/>
    </row>
    <row r="31" spans="1:38" x14ac:dyDescent="0.25">
      <c r="A31" s="116"/>
      <c r="B31" s="116"/>
      <c r="C31" s="45"/>
      <c r="D31" s="45"/>
      <c r="E31" s="45"/>
      <c r="F31" s="45"/>
      <c r="G31" s="45"/>
      <c r="H31" s="45"/>
      <c r="I31" s="45"/>
      <c r="J31" s="45"/>
      <c r="K31" s="45"/>
      <c r="L31" s="45"/>
      <c r="M31" s="45"/>
      <c r="N31" s="45"/>
      <c r="O31" s="45"/>
      <c r="P31" s="45"/>
      <c r="Q31" s="45"/>
      <c r="R31" s="45"/>
      <c r="S31" s="45"/>
      <c r="T31" s="45"/>
      <c r="U31" s="45"/>
      <c r="V31" s="45"/>
      <c r="W31" s="45"/>
      <c r="X31" s="45"/>
      <c r="Y31" s="45"/>
      <c r="Z31" s="45"/>
      <c r="AA31" s="45"/>
      <c r="AB31" s="45"/>
      <c r="AC31" s="45"/>
      <c r="AD31" s="45"/>
      <c r="AE31" s="45"/>
      <c r="AF31" s="45"/>
      <c r="AG31" s="45"/>
      <c r="AH31" s="45"/>
      <c r="AI31" s="45"/>
      <c r="AJ31" s="45"/>
      <c r="AK31" s="45"/>
      <c r="AL31" s="45"/>
    </row>
    <row r="32" spans="1:38" x14ac:dyDescent="0.25">
      <c r="A32" s="116"/>
      <c r="B32" s="116"/>
      <c r="C32" s="45"/>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c r="AD32" s="45"/>
      <c r="AE32" s="45"/>
      <c r="AF32" s="45"/>
      <c r="AG32" s="45"/>
      <c r="AH32" s="45"/>
      <c r="AI32" s="45"/>
      <c r="AJ32" s="45"/>
      <c r="AK32" s="45"/>
      <c r="AL32" s="45"/>
    </row>
    <row r="33" spans="1:38" x14ac:dyDescent="0.25">
      <c r="A33" s="116"/>
      <c r="B33" s="116"/>
      <c r="C33" s="45"/>
      <c r="D33" s="45"/>
      <c r="E33" s="45"/>
      <c r="F33" s="45"/>
      <c r="G33" s="45"/>
      <c r="H33" s="45"/>
      <c r="I33" s="45"/>
      <c r="J33" s="45"/>
      <c r="K33" s="45"/>
      <c r="L33" s="45"/>
      <c r="M33" s="45"/>
      <c r="N33" s="45"/>
      <c r="O33" s="45"/>
      <c r="P33" s="45"/>
      <c r="Q33" s="45"/>
      <c r="R33" s="45"/>
      <c r="S33" s="45"/>
      <c r="T33" s="45"/>
      <c r="U33" s="45"/>
      <c r="V33" s="45"/>
      <c r="W33" s="45"/>
      <c r="X33" s="45"/>
      <c r="Y33" s="45"/>
      <c r="Z33" s="45"/>
      <c r="AA33" s="45"/>
      <c r="AB33" s="45"/>
      <c r="AC33" s="45"/>
      <c r="AD33" s="45"/>
      <c r="AE33" s="45"/>
      <c r="AF33" s="45"/>
      <c r="AG33" s="45"/>
      <c r="AH33" s="45"/>
      <c r="AI33" s="45"/>
      <c r="AJ33" s="45"/>
      <c r="AK33" s="45"/>
      <c r="AL33" s="45"/>
    </row>
    <row r="34" spans="1:38" x14ac:dyDescent="0.25">
      <c r="A34" s="116"/>
      <c r="B34" s="116"/>
      <c r="C34" s="45"/>
      <c r="D34" s="45"/>
      <c r="E34" s="45"/>
      <c r="F34" s="45"/>
      <c r="G34" s="45"/>
      <c r="H34" s="45"/>
      <c r="I34" s="45"/>
      <c r="J34" s="45"/>
      <c r="K34" s="45"/>
      <c r="L34" s="45"/>
      <c r="M34" s="45"/>
      <c r="N34" s="45"/>
      <c r="O34" s="45"/>
      <c r="P34" s="45"/>
      <c r="Q34" s="45"/>
      <c r="R34" s="45"/>
      <c r="S34" s="45"/>
      <c r="T34" s="45"/>
      <c r="U34" s="45"/>
      <c r="V34" s="45"/>
      <c r="W34" s="45"/>
      <c r="X34" s="45"/>
      <c r="Y34" s="45"/>
      <c r="Z34" s="45"/>
      <c r="AA34" s="45"/>
      <c r="AB34" s="45"/>
      <c r="AC34" s="45"/>
      <c r="AD34" s="45"/>
      <c r="AE34" s="45"/>
      <c r="AF34" s="45"/>
      <c r="AG34" s="45"/>
      <c r="AH34" s="45"/>
      <c r="AI34" s="45"/>
      <c r="AJ34" s="45"/>
      <c r="AK34" s="45"/>
      <c r="AL34" s="45"/>
    </row>
    <row r="35" spans="1:38" x14ac:dyDescent="0.25">
      <c r="A35" s="116"/>
      <c r="B35" s="116"/>
      <c r="C35" s="45"/>
      <c r="D35" s="45"/>
      <c r="E35" s="45"/>
      <c r="F35" s="45"/>
      <c r="G35" s="45"/>
      <c r="H35" s="45"/>
      <c r="I35" s="45"/>
      <c r="J35" s="45"/>
      <c r="K35" s="45"/>
      <c r="L35" s="45"/>
      <c r="M35" s="45"/>
      <c r="N35" s="45"/>
      <c r="O35" s="45"/>
      <c r="P35" s="45"/>
      <c r="Q35" s="45"/>
      <c r="R35" s="45"/>
      <c r="S35" s="45"/>
      <c r="T35" s="45"/>
      <c r="U35" s="45"/>
      <c r="V35" s="45"/>
      <c r="W35" s="45"/>
      <c r="X35" s="45"/>
      <c r="Y35" s="45"/>
      <c r="Z35" s="45"/>
      <c r="AA35" s="45"/>
      <c r="AB35" s="45"/>
      <c r="AC35" s="45"/>
      <c r="AD35" s="45"/>
      <c r="AE35" s="45"/>
      <c r="AF35" s="45"/>
      <c r="AG35" s="45"/>
      <c r="AH35" s="45"/>
      <c r="AI35" s="45"/>
      <c r="AJ35" s="45"/>
      <c r="AK35" s="45"/>
      <c r="AL35" s="45"/>
    </row>
    <row r="36" spans="1:38" x14ac:dyDescent="0.25">
      <c r="A36" s="116"/>
      <c r="B36" s="116"/>
      <c r="C36" s="45"/>
      <c r="D36" s="45"/>
      <c r="E36" s="45"/>
      <c r="F36" s="45"/>
      <c r="G36" s="45"/>
      <c r="H36" s="45"/>
      <c r="I36" s="45"/>
      <c r="J36" s="45"/>
      <c r="K36" s="45"/>
      <c r="L36" s="45"/>
      <c r="M36" s="45"/>
      <c r="N36" s="45"/>
      <c r="O36" s="45"/>
      <c r="P36" s="45"/>
      <c r="Q36" s="45"/>
      <c r="R36" s="45"/>
      <c r="S36" s="45"/>
      <c r="T36" s="45"/>
      <c r="U36" s="45"/>
      <c r="V36" s="45"/>
      <c r="W36" s="45"/>
      <c r="X36" s="45"/>
      <c r="Y36" s="45"/>
      <c r="Z36" s="45"/>
      <c r="AA36" s="45"/>
      <c r="AB36" s="45"/>
      <c r="AC36" s="45"/>
      <c r="AD36" s="45"/>
      <c r="AE36" s="45"/>
      <c r="AF36" s="45"/>
      <c r="AG36" s="45"/>
      <c r="AH36" s="45"/>
      <c r="AI36" s="45"/>
      <c r="AJ36" s="45"/>
      <c r="AK36" s="45"/>
      <c r="AL36" s="45"/>
    </row>
    <row r="37" spans="1:38" x14ac:dyDescent="0.25">
      <c r="A37" s="24"/>
      <c r="B37" s="24"/>
      <c r="C37" s="162"/>
      <c r="D37" s="162"/>
      <c r="E37" s="162"/>
      <c r="F37" s="162"/>
      <c r="G37" s="162"/>
      <c r="H37" s="162"/>
      <c r="I37" s="162"/>
      <c r="J37" s="162"/>
      <c r="K37" s="162"/>
      <c r="L37" s="162"/>
      <c r="M37" s="162"/>
      <c r="N37" s="162"/>
    </row>
  </sheetData>
  <mergeCells count="25">
    <mergeCell ref="B1:N1"/>
    <mergeCell ref="B2:N2"/>
    <mergeCell ref="O1:Z1"/>
    <mergeCell ref="O2:Z2"/>
    <mergeCell ref="AA1:AL1"/>
    <mergeCell ref="AA2:AL2"/>
    <mergeCell ref="O8:R8"/>
    <mergeCell ref="C5:N5"/>
    <mergeCell ref="C6:F6"/>
    <mergeCell ref="S8:V8"/>
    <mergeCell ref="W8:Z8"/>
    <mergeCell ref="AE8:AH8"/>
    <mergeCell ref="AI8:AL8"/>
    <mergeCell ref="AA5:AL5"/>
    <mergeCell ref="AA6:AD6"/>
    <mergeCell ref="AA8:AD8"/>
    <mergeCell ref="B3:N3"/>
    <mergeCell ref="O3:Z3"/>
    <mergeCell ref="AA3:AL3"/>
    <mergeCell ref="AE6:AH6"/>
    <mergeCell ref="AI6:AL6"/>
    <mergeCell ref="O6:R6"/>
    <mergeCell ref="S6:V6"/>
    <mergeCell ref="W6:Z6"/>
    <mergeCell ref="G6:J6"/>
  </mergeCells>
  <phoneticPr fontId="0" type="noConversion"/>
  <pageMargins left="0.31496062992125984" right="0.27559055118110237" top="0.94488188976377963" bottom="0.39370078740157483" header="0.43307086614173229" footer="0.19685039370078741"/>
  <pageSetup paperSize="9" scale="61" orientation="landscape" r:id="rId1"/>
  <headerFooter alignWithMargins="0">
    <oddHeader>&amp;R&amp;"Times New Roman CE,Félkövér"&amp;11  2. melléklet a 12/2021.(II.25.) önkormányzati rendelethez&amp;"Times New Roman CE,Dőlt"&amp;10
2. melléklet
 az 5/2020.(II.17.) önkormányzati rendelethez</oddHeader>
  </headerFooter>
  <colBreaks count="1" manualBreakCount="1">
    <brk id="26"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75DE6-2A3D-4682-A9A5-EF5BBF3D94A2}">
  <sheetPr>
    <pageSetUpPr fitToPage="1"/>
  </sheetPr>
  <dimension ref="A2:F28"/>
  <sheetViews>
    <sheetView zoomScale="80" zoomScaleNormal="80" workbookViewId="0">
      <selection activeCell="F5" sqref="F5"/>
    </sheetView>
  </sheetViews>
  <sheetFormatPr defaultRowHeight="15.75" x14ac:dyDescent="0.25"/>
  <cols>
    <col min="1" max="1" width="9" style="474"/>
    <col min="2" max="2" width="59.125" style="475" customWidth="1"/>
    <col min="3" max="3" width="15.5" style="476" customWidth="1"/>
    <col min="4" max="231" width="9" style="474"/>
    <col min="232" max="232" width="42.125" style="474" customWidth="1"/>
    <col min="233" max="233" width="13.375" style="474" customWidth="1"/>
    <col min="234" max="487" width="9" style="474"/>
    <col min="488" max="488" width="42.125" style="474" customWidth="1"/>
    <col min="489" max="489" width="13.375" style="474" customWidth="1"/>
    <col min="490" max="743" width="9" style="474"/>
    <col min="744" max="744" width="42.125" style="474" customWidth="1"/>
    <col min="745" max="745" width="13.375" style="474" customWidth="1"/>
    <col min="746" max="999" width="9" style="474"/>
    <col min="1000" max="1000" width="42.125" style="474" customWidth="1"/>
    <col min="1001" max="1001" width="13.375" style="474" customWidth="1"/>
    <col min="1002" max="1255" width="9" style="474"/>
    <col min="1256" max="1256" width="42.125" style="474" customWidth="1"/>
    <col min="1257" max="1257" width="13.375" style="474" customWidth="1"/>
    <col min="1258" max="1511" width="9" style="474"/>
    <col min="1512" max="1512" width="42.125" style="474" customWidth="1"/>
    <col min="1513" max="1513" width="13.375" style="474" customWidth="1"/>
    <col min="1514" max="1767" width="9" style="474"/>
    <col min="1768" max="1768" width="42.125" style="474" customWidth="1"/>
    <col min="1769" max="1769" width="13.375" style="474" customWidth="1"/>
    <col min="1770" max="2023" width="9" style="474"/>
    <col min="2024" max="2024" width="42.125" style="474" customWidth="1"/>
    <col min="2025" max="2025" width="13.375" style="474" customWidth="1"/>
    <col min="2026" max="2279" width="9" style="474"/>
    <col min="2280" max="2280" width="42.125" style="474" customWidth="1"/>
    <col min="2281" max="2281" width="13.375" style="474" customWidth="1"/>
    <col min="2282" max="2535" width="9" style="474"/>
    <col min="2536" max="2536" width="42.125" style="474" customWidth="1"/>
    <col min="2537" max="2537" width="13.375" style="474" customWidth="1"/>
    <col min="2538" max="2791" width="9" style="474"/>
    <col min="2792" max="2792" width="42.125" style="474" customWidth="1"/>
    <col min="2793" max="2793" width="13.375" style="474" customWidth="1"/>
    <col min="2794" max="3047" width="9" style="474"/>
    <col min="3048" max="3048" width="42.125" style="474" customWidth="1"/>
    <col min="3049" max="3049" width="13.375" style="474" customWidth="1"/>
    <col min="3050" max="3303" width="9" style="474"/>
    <col min="3304" max="3304" width="42.125" style="474" customWidth="1"/>
    <col min="3305" max="3305" width="13.375" style="474" customWidth="1"/>
    <col min="3306" max="3559" width="9" style="474"/>
    <col min="3560" max="3560" width="42.125" style="474" customWidth="1"/>
    <col min="3561" max="3561" width="13.375" style="474" customWidth="1"/>
    <col min="3562" max="3815" width="9" style="474"/>
    <col min="3816" max="3816" width="42.125" style="474" customWidth="1"/>
    <col min="3817" max="3817" width="13.375" style="474" customWidth="1"/>
    <col min="3818" max="4071" width="9" style="474"/>
    <col min="4072" max="4072" width="42.125" style="474" customWidth="1"/>
    <col min="4073" max="4073" width="13.375" style="474" customWidth="1"/>
    <col min="4074" max="4327" width="9" style="474"/>
    <col min="4328" max="4328" width="42.125" style="474" customWidth="1"/>
    <col min="4329" max="4329" width="13.375" style="474" customWidth="1"/>
    <col min="4330" max="4583" width="9" style="474"/>
    <col min="4584" max="4584" width="42.125" style="474" customWidth="1"/>
    <col min="4585" max="4585" width="13.375" style="474" customWidth="1"/>
    <col min="4586" max="4839" width="9" style="474"/>
    <col min="4840" max="4840" width="42.125" style="474" customWidth="1"/>
    <col min="4841" max="4841" width="13.375" style="474" customWidth="1"/>
    <col min="4842" max="5095" width="9" style="474"/>
    <col min="5096" max="5096" width="42.125" style="474" customWidth="1"/>
    <col min="5097" max="5097" width="13.375" style="474" customWidth="1"/>
    <col min="5098" max="5351" width="9" style="474"/>
    <col min="5352" max="5352" width="42.125" style="474" customWidth="1"/>
    <col min="5353" max="5353" width="13.375" style="474" customWidth="1"/>
    <col min="5354" max="5607" width="9" style="474"/>
    <col min="5608" max="5608" width="42.125" style="474" customWidth="1"/>
    <col min="5609" max="5609" width="13.375" style="474" customWidth="1"/>
    <col min="5610" max="5863" width="9" style="474"/>
    <col min="5864" max="5864" width="42.125" style="474" customWidth="1"/>
    <col min="5865" max="5865" width="13.375" style="474" customWidth="1"/>
    <col min="5866" max="6119" width="9" style="474"/>
    <col min="6120" max="6120" width="42.125" style="474" customWidth="1"/>
    <col min="6121" max="6121" width="13.375" style="474" customWidth="1"/>
    <col min="6122" max="6375" width="9" style="474"/>
    <col min="6376" max="6376" width="42.125" style="474" customWidth="1"/>
    <col min="6377" max="6377" width="13.375" style="474" customWidth="1"/>
    <col min="6378" max="6631" width="9" style="474"/>
    <col min="6632" max="6632" width="42.125" style="474" customWidth="1"/>
    <col min="6633" max="6633" width="13.375" style="474" customWidth="1"/>
    <col min="6634" max="6887" width="9" style="474"/>
    <col min="6888" max="6888" width="42.125" style="474" customWidth="1"/>
    <col min="6889" max="6889" width="13.375" style="474" customWidth="1"/>
    <col min="6890" max="7143" width="9" style="474"/>
    <col min="7144" max="7144" width="42.125" style="474" customWidth="1"/>
    <col min="7145" max="7145" width="13.375" style="474" customWidth="1"/>
    <col min="7146" max="7399" width="9" style="474"/>
    <col min="7400" max="7400" width="42.125" style="474" customWidth="1"/>
    <col min="7401" max="7401" width="13.375" style="474" customWidth="1"/>
    <col min="7402" max="7655" width="9" style="474"/>
    <col min="7656" max="7656" width="42.125" style="474" customWidth="1"/>
    <col min="7657" max="7657" width="13.375" style="474" customWidth="1"/>
    <col min="7658" max="7911" width="9" style="474"/>
    <col min="7912" max="7912" width="42.125" style="474" customWidth="1"/>
    <col min="7913" max="7913" width="13.375" style="474" customWidth="1"/>
    <col min="7914" max="8167" width="9" style="474"/>
    <col min="8168" max="8168" width="42.125" style="474" customWidth="1"/>
    <col min="8169" max="8169" width="13.375" style="474" customWidth="1"/>
    <col min="8170" max="8423" width="9" style="474"/>
    <col min="8424" max="8424" width="42.125" style="474" customWidth="1"/>
    <col min="8425" max="8425" width="13.375" style="474" customWidth="1"/>
    <col min="8426" max="8679" width="9" style="474"/>
    <col min="8680" max="8680" width="42.125" style="474" customWidth="1"/>
    <col min="8681" max="8681" width="13.375" style="474" customWidth="1"/>
    <col min="8682" max="8935" width="9" style="474"/>
    <col min="8936" max="8936" width="42.125" style="474" customWidth="1"/>
    <col min="8937" max="8937" width="13.375" style="474" customWidth="1"/>
    <col min="8938" max="9191" width="9" style="474"/>
    <col min="9192" max="9192" width="42.125" style="474" customWidth="1"/>
    <col min="9193" max="9193" width="13.375" style="474" customWidth="1"/>
    <col min="9194" max="9447" width="9" style="474"/>
    <col min="9448" max="9448" width="42.125" style="474" customWidth="1"/>
    <col min="9449" max="9449" width="13.375" style="474" customWidth="1"/>
    <col min="9450" max="9703" width="9" style="474"/>
    <col min="9704" max="9704" width="42.125" style="474" customWidth="1"/>
    <col min="9705" max="9705" width="13.375" style="474" customWidth="1"/>
    <col min="9706" max="9959" width="9" style="474"/>
    <col min="9960" max="9960" width="42.125" style="474" customWidth="1"/>
    <col min="9961" max="9961" width="13.375" style="474" customWidth="1"/>
    <col min="9962" max="10215" width="9" style="474"/>
    <col min="10216" max="10216" width="42.125" style="474" customWidth="1"/>
    <col min="10217" max="10217" width="13.375" style="474" customWidth="1"/>
    <col min="10218" max="10471" width="9" style="474"/>
    <col min="10472" max="10472" width="42.125" style="474" customWidth="1"/>
    <col min="10473" max="10473" width="13.375" style="474" customWidth="1"/>
    <col min="10474" max="10727" width="9" style="474"/>
    <col min="10728" max="10728" width="42.125" style="474" customWidth="1"/>
    <col min="10729" max="10729" width="13.375" style="474" customWidth="1"/>
    <col min="10730" max="10983" width="9" style="474"/>
    <col min="10984" max="10984" width="42.125" style="474" customWidth="1"/>
    <col min="10985" max="10985" width="13.375" style="474" customWidth="1"/>
    <col min="10986" max="11239" width="9" style="474"/>
    <col min="11240" max="11240" width="42.125" style="474" customWidth="1"/>
    <col min="11241" max="11241" width="13.375" style="474" customWidth="1"/>
    <col min="11242" max="11495" width="9" style="474"/>
    <col min="11496" max="11496" width="42.125" style="474" customWidth="1"/>
    <col min="11497" max="11497" width="13.375" style="474" customWidth="1"/>
    <col min="11498" max="11751" width="9" style="474"/>
    <col min="11752" max="11752" width="42.125" style="474" customWidth="1"/>
    <col min="11753" max="11753" width="13.375" style="474" customWidth="1"/>
    <col min="11754" max="12007" width="9" style="474"/>
    <col min="12008" max="12008" width="42.125" style="474" customWidth="1"/>
    <col min="12009" max="12009" width="13.375" style="474" customWidth="1"/>
    <col min="12010" max="12263" width="9" style="474"/>
    <col min="12264" max="12264" width="42.125" style="474" customWidth="1"/>
    <col min="12265" max="12265" width="13.375" style="474" customWidth="1"/>
    <col min="12266" max="12519" width="9" style="474"/>
    <col min="12520" max="12520" width="42.125" style="474" customWidth="1"/>
    <col min="12521" max="12521" width="13.375" style="474" customWidth="1"/>
    <col min="12522" max="12775" width="9" style="474"/>
    <col min="12776" max="12776" width="42.125" style="474" customWidth="1"/>
    <col min="12777" max="12777" width="13.375" style="474" customWidth="1"/>
    <col min="12778" max="13031" width="9" style="474"/>
    <col min="13032" max="13032" width="42.125" style="474" customWidth="1"/>
    <col min="13033" max="13033" width="13.375" style="474" customWidth="1"/>
    <col min="13034" max="13287" width="9" style="474"/>
    <col min="13288" max="13288" width="42.125" style="474" customWidth="1"/>
    <col min="13289" max="13289" width="13.375" style="474" customWidth="1"/>
    <col min="13290" max="13543" width="9" style="474"/>
    <col min="13544" max="13544" width="42.125" style="474" customWidth="1"/>
    <col min="13545" max="13545" width="13.375" style="474" customWidth="1"/>
    <col min="13546" max="13799" width="9" style="474"/>
    <col min="13800" max="13800" width="42.125" style="474" customWidth="1"/>
    <col min="13801" max="13801" width="13.375" style="474" customWidth="1"/>
    <col min="13802" max="14055" width="9" style="474"/>
    <col min="14056" max="14056" width="42.125" style="474" customWidth="1"/>
    <col min="14057" max="14057" width="13.375" style="474" customWidth="1"/>
    <col min="14058" max="14311" width="9" style="474"/>
    <col min="14312" max="14312" width="42.125" style="474" customWidth="1"/>
    <col min="14313" max="14313" width="13.375" style="474" customWidth="1"/>
    <col min="14314" max="14567" width="9" style="474"/>
    <col min="14568" max="14568" width="42.125" style="474" customWidth="1"/>
    <col min="14569" max="14569" width="13.375" style="474" customWidth="1"/>
    <col min="14570" max="14823" width="9" style="474"/>
    <col min="14824" max="14824" width="42.125" style="474" customWidth="1"/>
    <col min="14825" max="14825" width="13.375" style="474" customWidth="1"/>
    <col min="14826" max="15079" width="9" style="474"/>
    <col min="15080" max="15080" width="42.125" style="474" customWidth="1"/>
    <col min="15081" max="15081" width="13.375" style="474" customWidth="1"/>
    <col min="15082" max="15335" width="9" style="474"/>
    <col min="15336" max="15336" width="42.125" style="474" customWidth="1"/>
    <col min="15337" max="15337" width="13.375" style="474" customWidth="1"/>
    <col min="15338" max="15591" width="9" style="474"/>
    <col min="15592" max="15592" width="42.125" style="474" customWidth="1"/>
    <col min="15593" max="15593" width="13.375" style="474" customWidth="1"/>
    <col min="15594" max="15847" width="9" style="474"/>
    <col min="15848" max="15848" width="42.125" style="474" customWidth="1"/>
    <col min="15849" max="15849" width="13.375" style="474" customWidth="1"/>
    <col min="15850" max="16103" width="9" style="474"/>
    <col min="16104" max="16104" width="42.125" style="474" customWidth="1"/>
    <col min="16105" max="16105" width="13.375" style="474" customWidth="1"/>
    <col min="16106" max="16358" width="9" style="474"/>
    <col min="16359" max="16384" width="8.75" style="474" customWidth="1"/>
  </cols>
  <sheetData>
    <row r="2" spans="1:6" x14ac:dyDescent="0.25">
      <c r="A2" s="1049" t="s">
        <v>1312</v>
      </c>
      <c r="B2" s="1049"/>
      <c r="C2" s="1049"/>
    </row>
    <row r="3" spans="1:6" ht="16.5" thickBot="1" x14ac:dyDescent="0.3"/>
    <row r="4" spans="1:6" s="480" customFormat="1" ht="47.25" x14ac:dyDescent="0.25">
      <c r="A4" s="477" t="s">
        <v>827</v>
      </c>
      <c r="B4" s="478" t="s">
        <v>136</v>
      </c>
      <c r="C4" s="479" t="s">
        <v>1272</v>
      </c>
    </row>
    <row r="5" spans="1:6" s="480" customFormat="1" x14ac:dyDescent="0.25">
      <c r="A5" s="1032" t="s">
        <v>493</v>
      </c>
      <c r="B5" s="1033"/>
      <c r="C5" s="608"/>
      <c r="F5" s="480" t="s">
        <v>492</v>
      </c>
    </row>
    <row r="6" spans="1:6" x14ac:dyDescent="0.25">
      <c r="A6" s="481" t="s">
        <v>144</v>
      </c>
      <c r="B6" s="482" t="s">
        <v>828</v>
      </c>
      <c r="C6" s="483">
        <v>60568</v>
      </c>
    </row>
    <row r="7" spans="1:6" x14ac:dyDescent="0.25">
      <c r="A7" s="481" t="s">
        <v>145</v>
      </c>
      <c r="B7" s="482" t="s">
        <v>842</v>
      </c>
      <c r="C7" s="483">
        <v>-25400</v>
      </c>
    </row>
    <row r="8" spans="1:6" x14ac:dyDescent="0.25">
      <c r="A8" s="481" t="s">
        <v>146</v>
      </c>
      <c r="B8" s="482" t="s">
        <v>829</v>
      </c>
      <c r="C8" s="483">
        <v>6</v>
      </c>
    </row>
    <row r="9" spans="1:6" x14ac:dyDescent="0.25">
      <c r="A9" s="481" t="s">
        <v>147</v>
      </c>
      <c r="B9" s="482" t="s">
        <v>830</v>
      </c>
      <c r="C9" s="483">
        <f>400-59</f>
        <v>341</v>
      </c>
    </row>
    <row r="10" spans="1:6" x14ac:dyDescent="0.25">
      <c r="A10" s="481" t="s">
        <v>148</v>
      </c>
      <c r="B10" s="482" t="s">
        <v>831</v>
      </c>
      <c r="C10" s="483">
        <f>5080-70</f>
        <v>5010</v>
      </c>
    </row>
    <row r="11" spans="1:6" x14ac:dyDescent="0.25">
      <c r="A11" s="481" t="s">
        <v>149</v>
      </c>
      <c r="B11" s="482" t="s">
        <v>832</v>
      </c>
      <c r="C11" s="483">
        <v>16560</v>
      </c>
    </row>
    <row r="12" spans="1:6" x14ac:dyDescent="0.25">
      <c r="A12" s="481" t="s">
        <v>150</v>
      </c>
      <c r="B12" s="482" t="s">
        <v>1034</v>
      </c>
      <c r="C12" s="483">
        <v>0</v>
      </c>
    </row>
    <row r="13" spans="1:6" s="480" customFormat="1" x14ac:dyDescent="0.25">
      <c r="A13" s="484" t="s">
        <v>151</v>
      </c>
      <c r="B13" s="485" t="s">
        <v>833</v>
      </c>
      <c r="C13" s="486">
        <f>SUM(C6:C12)</f>
        <v>57085</v>
      </c>
    </row>
    <row r="14" spans="1:6" ht="63" x14ac:dyDescent="0.25">
      <c r="A14" s="481" t="s">
        <v>152</v>
      </c>
      <c r="B14" s="482" t="s">
        <v>1030</v>
      </c>
      <c r="C14" s="483">
        <v>-10000</v>
      </c>
    </row>
    <row r="15" spans="1:6" s="480" customFormat="1" x14ac:dyDescent="0.25">
      <c r="A15" s="484" t="s">
        <v>0</v>
      </c>
      <c r="B15" s="555" t="s">
        <v>1029</v>
      </c>
      <c r="C15" s="554">
        <f t="shared" ref="C15" si="0">+C13+C14</f>
        <v>47085</v>
      </c>
    </row>
    <row r="16" spans="1:6" x14ac:dyDescent="0.25">
      <c r="A16" s="1032" t="s">
        <v>510</v>
      </c>
      <c r="B16" s="1033"/>
      <c r="C16" s="609"/>
    </row>
    <row r="17" spans="1:3" ht="48.75" customHeight="1" x14ac:dyDescent="0.25">
      <c r="A17" s="481" t="s">
        <v>1</v>
      </c>
      <c r="B17" s="482" t="s">
        <v>834</v>
      </c>
      <c r="C17" s="497">
        <v>0</v>
      </c>
    </row>
    <row r="18" spans="1:3" ht="29.25" customHeight="1" x14ac:dyDescent="0.25">
      <c r="A18" s="481" t="s">
        <v>2</v>
      </c>
      <c r="B18" s="482" t="s">
        <v>835</v>
      </c>
      <c r="C18" s="483">
        <v>10017</v>
      </c>
    </row>
    <row r="19" spans="1:3" ht="30.75" customHeight="1" x14ac:dyDescent="0.25">
      <c r="A19" s="481" t="s">
        <v>3</v>
      </c>
      <c r="B19" s="482" t="s">
        <v>973</v>
      </c>
      <c r="C19" s="483">
        <v>1411</v>
      </c>
    </row>
    <row r="20" spans="1:3" x14ac:dyDescent="0.25">
      <c r="A20" s="481" t="s">
        <v>4</v>
      </c>
      <c r="B20" s="482" t="s">
        <v>836</v>
      </c>
      <c r="C20" s="487">
        <v>43872</v>
      </c>
    </row>
    <row r="21" spans="1:3" x14ac:dyDescent="0.25">
      <c r="A21" s="481" t="s">
        <v>5</v>
      </c>
      <c r="B21" s="482" t="s">
        <v>837</v>
      </c>
      <c r="C21" s="487">
        <v>400</v>
      </c>
    </row>
    <row r="22" spans="1:3" x14ac:dyDescent="0.25">
      <c r="A22" s="481" t="s">
        <v>6</v>
      </c>
      <c r="B22" s="482" t="s">
        <v>1035</v>
      </c>
      <c r="C22" s="487">
        <v>0</v>
      </c>
    </row>
    <row r="23" spans="1:3" s="480" customFormat="1" x14ac:dyDescent="0.25">
      <c r="A23" s="484" t="s">
        <v>7</v>
      </c>
      <c r="B23" s="485" t="s">
        <v>838</v>
      </c>
      <c r="C23" s="486">
        <f t="shared" ref="C23" si="1">SUM(C17:C22)</f>
        <v>55700</v>
      </c>
    </row>
    <row r="24" spans="1:3" s="480" customFormat="1" x14ac:dyDescent="0.25">
      <c r="A24" s="481" t="s">
        <v>8</v>
      </c>
      <c r="B24" s="482" t="s">
        <v>839</v>
      </c>
      <c r="C24" s="483">
        <v>12</v>
      </c>
    </row>
    <row r="25" spans="1:3" s="480" customFormat="1" x14ac:dyDescent="0.25">
      <c r="A25" s="481" t="s">
        <v>9</v>
      </c>
      <c r="B25" s="482" t="s">
        <v>840</v>
      </c>
      <c r="C25" s="483">
        <f>1500+1-59-70+1</f>
        <v>1373</v>
      </c>
    </row>
    <row r="26" spans="1:3" s="480" customFormat="1" x14ac:dyDescent="0.25">
      <c r="A26" s="484" t="s">
        <v>10</v>
      </c>
      <c r="B26" s="485" t="s">
        <v>841</v>
      </c>
      <c r="C26" s="486">
        <f t="shared" ref="C26" si="2">SUM(C23:C25)</f>
        <v>57085</v>
      </c>
    </row>
    <row r="27" spans="1:3" s="480" customFormat="1" ht="63" x14ac:dyDescent="0.25">
      <c r="A27" s="481" t="s">
        <v>11</v>
      </c>
      <c r="B27" s="482" t="s">
        <v>1128</v>
      </c>
      <c r="C27" s="483">
        <v>-10000</v>
      </c>
    </row>
    <row r="28" spans="1:3" s="480" customFormat="1" ht="16.5" thickBot="1" x14ac:dyDescent="0.3">
      <c r="A28" s="496" t="s">
        <v>12</v>
      </c>
      <c r="B28" s="488" t="s">
        <v>1028</v>
      </c>
      <c r="C28" s="489">
        <f t="shared" ref="C28" si="3">+C26+C27</f>
        <v>47085</v>
      </c>
    </row>
  </sheetData>
  <mergeCells count="3">
    <mergeCell ref="A5:B5"/>
    <mergeCell ref="A16:B16"/>
    <mergeCell ref="A2:C2"/>
  </mergeCells>
  <phoneticPr fontId="39" type="noConversion"/>
  <printOptions horizontalCentered="1"/>
  <pageMargins left="0.51181102362204722" right="0.47244094488188981" top="1.3385826771653544" bottom="0.74803149606299213" header="0.43307086614173229" footer="0.31496062992125984"/>
  <pageSetup paperSize="9" orientation="portrait" r:id="rId1"/>
  <headerFooter>
    <oddHeader>&amp;C
&amp;R&amp;"Times New Roman CE,Félkövér"&amp;10 20.melléklet a 12/2021.(II.25.) önkormányzati rendelethez&amp;12
&amp;"Times New Roman CE,Dőlt"&amp;10 23. melléklet
az 5/2020.(II.17.) önkormányzati rendelethez</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4947"/>
  <sheetViews>
    <sheetView view="pageBreakPreview" zoomScale="70" zoomScaleNormal="90" zoomScaleSheetLayoutView="70" workbookViewId="0">
      <pane xSplit="2" ySplit="8" topLeftCell="C9" activePane="bottomRight" state="frozen"/>
      <selection sqref="A1:XFD1048576"/>
      <selection pane="topRight" sqref="A1:XFD1048576"/>
      <selection pane="bottomLeft" sqref="A1:XFD1048576"/>
      <selection pane="bottomRight" activeCell="D10" sqref="D10"/>
    </sheetView>
  </sheetViews>
  <sheetFormatPr defaultColWidth="9.25" defaultRowHeight="15.75" x14ac:dyDescent="0.25"/>
  <cols>
    <col min="1" max="1" width="37.5" style="124" customWidth="1"/>
    <col min="2" max="2" width="11.625" style="124" customWidth="1"/>
    <col min="3" max="3" width="15" style="13" customWidth="1"/>
    <col min="4" max="4" width="14.5" style="13" customWidth="1"/>
    <col min="5" max="5" width="15.25" style="13" customWidth="1"/>
    <col min="6" max="6" width="14.25" style="13" customWidth="1"/>
    <col min="7" max="7" width="14.5" style="13" customWidth="1"/>
    <col min="8" max="8" width="14.75" style="13" customWidth="1"/>
    <col min="9" max="11" width="14.875" style="13" customWidth="1"/>
    <col min="12" max="16384" width="9.25" style="13"/>
  </cols>
  <sheetData>
    <row r="1" spans="1:256" s="392" customFormat="1" x14ac:dyDescent="0.25">
      <c r="A1" s="965" t="s">
        <v>180</v>
      </c>
      <c r="B1" s="965"/>
      <c r="C1" s="965"/>
      <c r="D1" s="965"/>
      <c r="E1" s="965"/>
      <c r="F1" s="965"/>
      <c r="G1" s="965"/>
      <c r="H1" s="965"/>
      <c r="I1" s="965"/>
      <c r="J1" s="965"/>
      <c r="K1" s="96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c r="AP1" s="45"/>
      <c r="AQ1" s="45"/>
      <c r="AR1" s="45"/>
      <c r="AS1" s="45"/>
      <c r="AT1" s="45"/>
      <c r="AU1" s="45"/>
      <c r="AV1" s="45"/>
      <c r="AW1" s="45"/>
      <c r="AX1" s="45"/>
      <c r="AY1" s="45"/>
      <c r="AZ1" s="45"/>
      <c r="BA1" s="45"/>
      <c r="BB1" s="45"/>
      <c r="BC1" s="45"/>
      <c r="BD1" s="45"/>
      <c r="BE1" s="45"/>
      <c r="BF1" s="45"/>
      <c r="BG1" s="45"/>
      <c r="BH1" s="45"/>
      <c r="BI1" s="45"/>
      <c r="BJ1" s="45"/>
      <c r="BK1" s="45"/>
      <c r="BL1" s="45"/>
      <c r="BM1" s="45"/>
      <c r="BN1" s="45"/>
      <c r="BO1" s="45"/>
      <c r="BP1" s="45"/>
      <c r="BQ1" s="45"/>
      <c r="BR1" s="45"/>
      <c r="BS1" s="45"/>
      <c r="BT1" s="45"/>
      <c r="BU1" s="45"/>
      <c r="BV1" s="45"/>
      <c r="BW1" s="45"/>
      <c r="BX1" s="45"/>
      <c r="BY1" s="45"/>
      <c r="BZ1" s="45"/>
      <c r="CA1" s="45"/>
      <c r="CB1" s="45"/>
      <c r="CC1" s="45"/>
      <c r="CD1" s="45"/>
      <c r="CE1" s="45"/>
      <c r="CF1" s="45"/>
      <c r="CG1" s="45"/>
      <c r="CH1" s="45"/>
      <c r="CI1" s="45"/>
      <c r="CJ1" s="45"/>
      <c r="CK1" s="45"/>
      <c r="CL1" s="45"/>
      <c r="CM1" s="45"/>
      <c r="CN1" s="45"/>
      <c r="CO1" s="45"/>
      <c r="CP1" s="45"/>
      <c r="CQ1" s="45"/>
      <c r="CR1" s="45"/>
      <c r="CS1" s="45"/>
      <c r="CT1" s="45"/>
      <c r="CU1" s="45"/>
      <c r="CV1" s="45"/>
      <c r="CW1" s="45"/>
      <c r="CX1" s="45"/>
      <c r="CY1" s="45"/>
      <c r="CZ1" s="45"/>
      <c r="DA1" s="45"/>
      <c r="DB1" s="45"/>
      <c r="DC1" s="45"/>
      <c r="DD1" s="45"/>
      <c r="DE1" s="45"/>
      <c r="DF1" s="45"/>
      <c r="DG1" s="45"/>
      <c r="DH1" s="45"/>
      <c r="DI1" s="45"/>
      <c r="DJ1" s="45"/>
      <c r="DK1" s="45"/>
      <c r="DL1" s="45"/>
      <c r="DM1" s="45"/>
      <c r="DN1" s="45"/>
      <c r="DO1" s="45"/>
      <c r="DP1" s="45"/>
      <c r="DQ1" s="45"/>
      <c r="DR1" s="45"/>
      <c r="DS1" s="45"/>
      <c r="DT1" s="45"/>
      <c r="DU1" s="45"/>
      <c r="DV1" s="45"/>
      <c r="DW1" s="45"/>
      <c r="DX1" s="45"/>
      <c r="DY1" s="45"/>
      <c r="DZ1" s="45"/>
      <c r="EA1" s="45"/>
      <c r="EB1" s="45"/>
      <c r="EC1" s="45"/>
      <c r="ED1" s="45"/>
      <c r="EE1" s="45"/>
      <c r="EF1" s="45"/>
      <c r="EG1" s="45"/>
      <c r="EH1" s="45"/>
      <c r="EI1" s="45"/>
      <c r="EJ1" s="45"/>
      <c r="EK1" s="45"/>
      <c r="EL1" s="45"/>
      <c r="EM1" s="45"/>
      <c r="EN1" s="45"/>
      <c r="EO1" s="45"/>
      <c r="EP1" s="45"/>
      <c r="EQ1" s="45"/>
      <c r="ER1" s="45"/>
      <c r="ES1" s="45"/>
      <c r="ET1" s="45"/>
      <c r="EU1" s="45"/>
      <c r="EV1" s="45"/>
      <c r="EW1" s="45"/>
      <c r="EX1" s="45"/>
      <c r="EY1" s="45"/>
      <c r="EZ1" s="45"/>
      <c r="FA1" s="45"/>
      <c r="FB1" s="45"/>
      <c r="FC1" s="45"/>
      <c r="FD1" s="45"/>
      <c r="FE1" s="45"/>
      <c r="FF1" s="45"/>
      <c r="FG1" s="45"/>
      <c r="FH1" s="45"/>
      <c r="FI1" s="45"/>
      <c r="FJ1" s="45"/>
      <c r="FK1" s="45"/>
      <c r="FL1" s="45"/>
      <c r="FM1" s="45"/>
      <c r="FN1" s="45"/>
      <c r="FO1" s="45"/>
      <c r="FP1" s="45"/>
      <c r="FQ1" s="45"/>
      <c r="FR1" s="45"/>
      <c r="FS1" s="45"/>
      <c r="FT1" s="45"/>
      <c r="FU1" s="45"/>
      <c r="FV1" s="45"/>
      <c r="FW1" s="45"/>
      <c r="FX1" s="45"/>
      <c r="FY1" s="45"/>
      <c r="FZ1" s="45"/>
      <c r="GA1" s="45"/>
      <c r="GB1" s="45"/>
      <c r="GC1" s="45"/>
      <c r="GD1" s="45"/>
      <c r="GE1" s="45"/>
      <c r="GF1" s="45"/>
      <c r="GG1" s="45"/>
      <c r="GH1" s="45"/>
      <c r="GI1" s="45"/>
      <c r="GJ1" s="45"/>
      <c r="GK1" s="45"/>
      <c r="GL1" s="45"/>
      <c r="GM1" s="45"/>
      <c r="GN1" s="45"/>
      <c r="GO1" s="45"/>
      <c r="GP1" s="45"/>
      <c r="GQ1" s="45"/>
      <c r="GR1" s="45"/>
      <c r="GS1" s="45"/>
      <c r="GT1" s="45"/>
      <c r="GU1" s="45"/>
      <c r="GV1" s="45"/>
      <c r="GW1" s="45"/>
      <c r="GX1" s="45"/>
      <c r="GY1" s="45"/>
      <c r="GZ1" s="45"/>
      <c r="HA1" s="45"/>
      <c r="HB1" s="45"/>
      <c r="HC1" s="45"/>
      <c r="HD1" s="45"/>
      <c r="HE1" s="45"/>
      <c r="HF1" s="45"/>
      <c r="HG1" s="45"/>
      <c r="HH1" s="45"/>
      <c r="HI1" s="45"/>
      <c r="HJ1" s="45"/>
      <c r="HK1" s="45"/>
      <c r="HL1" s="45"/>
      <c r="HM1" s="45"/>
      <c r="HN1" s="45"/>
      <c r="HO1" s="45"/>
      <c r="HP1" s="45"/>
      <c r="HQ1" s="45"/>
      <c r="HR1" s="45"/>
      <c r="HS1" s="45"/>
      <c r="HT1" s="45"/>
      <c r="HU1" s="45"/>
      <c r="HV1" s="45"/>
      <c r="HW1" s="45"/>
      <c r="HX1" s="45"/>
      <c r="HY1" s="45"/>
      <c r="HZ1" s="45"/>
      <c r="IA1" s="45"/>
      <c r="IB1" s="45"/>
      <c r="IC1" s="45"/>
      <c r="ID1" s="45"/>
      <c r="IE1" s="45"/>
      <c r="IF1" s="45"/>
      <c r="IG1" s="45"/>
      <c r="IH1" s="45"/>
      <c r="II1" s="45"/>
      <c r="IJ1" s="45"/>
      <c r="IK1" s="45"/>
      <c r="IL1" s="45"/>
      <c r="IM1" s="45"/>
      <c r="IN1" s="45"/>
      <c r="IO1" s="45"/>
      <c r="IP1" s="45"/>
      <c r="IQ1" s="45"/>
      <c r="IR1" s="45"/>
      <c r="IS1" s="45"/>
      <c r="IT1" s="45"/>
      <c r="IU1" s="45"/>
      <c r="IV1" s="45"/>
    </row>
    <row r="2" spans="1:256" s="392" customFormat="1" x14ac:dyDescent="0.25">
      <c r="A2" s="965" t="s">
        <v>767</v>
      </c>
      <c r="B2" s="965"/>
      <c r="C2" s="965"/>
      <c r="D2" s="965"/>
      <c r="E2" s="965"/>
      <c r="F2" s="965"/>
      <c r="G2" s="965"/>
      <c r="H2" s="965"/>
      <c r="I2" s="965"/>
      <c r="J2" s="965"/>
      <c r="K2" s="96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c r="CA2" s="45"/>
      <c r="CB2" s="45"/>
      <c r="CC2" s="45"/>
      <c r="CD2" s="45"/>
      <c r="CE2" s="45"/>
      <c r="CF2" s="45"/>
      <c r="CG2" s="45"/>
      <c r="CH2" s="45"/>
      <c r="CI2" s="45"/>
      <c r="CJ2" s="45"/>
      <c r="CK2" s="45"/>
      <c r="CL2" s="45"/>
      <c r="CM2" s="45"/>
      <c r="CN2" s="45"/>
      <c r="CO2" s="45"/>
      <c r="CP2" s="45"/>
      <c r="CQ2" s="45"/>
      <c r="CR2" s="45"/>
      <c r="CS2" s="45"/>
      <c r="CT2" s="45"/>
      <c r="CU2" s="45"/>
      <c r="CV2" s="45"/>
      <c r="CW2" s="45"/>
      <c r="CX2" s="45"/>
      <c r="CY2" s="45"/>
      <c r="CZ2" s="45"/>
      <c r="DA2" s="45"/>
      <c r="DB2" s="45"/>
      <c r="DC2" s="45"/>
      <c r="DD2" s="45"/>
      <c r="DE2" s="45"/>
      <c r="DF2" s="45"/>
      <c r="DG2" s="45"/>
      <c r="DH2" s="45"/>
      <c r="DI2" s="45"/>
      <c r="DJ2" s="45"/>
      <c r="DK2" s="45"/>
      <c r="DL2" s="45"/>
      <c r="DM2" s="45"/>
      <c r="DN2" s="45"/>
      <c r="DO2" s="45"/>
      <c r="DP2" s="45"/>
      <c r="DQ2" s="45"/>
      <c r="DR2" s="45"/>
      <c r="DS2" s="45"/>
      <c r="DT2" s="45"/>
      <c r="DU2" s="45"/>
      <c r="DV2" s="45"/>
      <c r="DW2" s="45"/>
      <c r="DX2" s="45"/>
      <c r="DY2" s="45"/>
      <c r="DZ2" s="45"/>
      <c r="EA2" s="45"/>
      <c r="EB2" s="45"/>
      <c r="EC2" s="45"/>
      <c r="ED2" s="45"/>
      <c r="EE2" s="45"/>
      <c r="EF2" s="45"/>
      <c r="EG2" s="45"/>
      <c r="EH2" s="45"/>
      <c r="EI2" s="45"/>
      <c r="EJ2" s="45"/>
      <c r="EK2" s="45"/>
      <c r="EL2" s="45"/>
      <c r="EM2" s="45"/>
      <c r="EN2" s="45"/>
      <c r="EO2" s="45"/>
      <c r="EP2" s="45"/>
      <c r="EQ2" s="45"/>
      <c r="ER2" s="45"/>
      <c r="ES2" s="45"/>
      <c r="ET2" s="45"/>
      <c r="EU2" s="45"/>
      <c r="EV2" s="45"/>
      <c r="EW2" s="45"/>
      <c r="EX2" s="45"/>
      <c r="EY2" s="45"/>
      <c r="EZ2" s="45"/>
      <c r="FA2" s="45"/>
      <c r="FB2" s="45"/>
      <c r="FC2" s="45"/>
      <c r="FD2" s="45"/>
      <c r="FE2" s="45"/>
      <c r="FF2" s="45"/>
      <c r="FG2" s="45"/>
      <c r="FH2" s="45"/>
      <c r="FI2" s="45"/>
      <c r="FJ2" s="45"/>
      <c r="FK2" s="45"/>
      <c r="FL2" s="45"/>
      <c r="FM2" s="45"/>
      <c r="FN2" s="45"/>
      <c r="FO2" s="45"/>
      <c r="FP2" s="45"/>
      <c r="FQ2" s="45"/>
      <c r="FR2" s="45"/>
      <c r="FS2" s="45"/>
      <c r="FT2" s="45"/>
      <c r="FU2" s="45"/>
      <c r="FV2" s="45"/>
      <c r="FW2" s="45"/>
      <c r="FX2" s="45"/>
      <c r="FY2" s="45"/>
      <c r="FZ2" s="45"/>
      <c r="GA2" s="45"/>
      <c r="GB2" s="45"/>
      <c r="GC2" s="45"/>
      <c r="GD2" s="45"/>
      <c r="GE2" s="45"/>
      <c r="GF2" s="45"/>
      <c r="GG2" s="45"/>
      <c r="GH2" s="45"/>
      <c r="GI2" s="45"/>
      <c r="GJ2" s="45"/>
      <c r="GK2" s="45"/>
      <c r="GL2" s="45"/>
      <c r="GM2" s="45"/>
      <c r="GN2" s="45"/>
      <c r="GO2" s="45"/>
      <c r="GP2" s="45"/>
      <c r="GQ2" s="45"/>
      <c r="GR2" s="45"/>
      <c r="GS2" s="45"/>
      <c r="GT2" s="45"/>
      <c r="GU2" s="45"/>
      <c r="GV2" s="45"/>
      <c r="GW2" s="45"/>
      <c r="GX2" s="45"/>
      <c r="GY2" s="45"/>
      <c r="GZ2" s="45"/>
      <c r="HA2" s="45"/>
      <c r="HB2" s="45"/>
      <c r="HC2" s="45"/>
      <c r="HD2" s="45"/>
      <c r="HE2" s="45"/>
      <c r="HF2" s="45"/>
      <c r="HG2" s="45"/>
      <c r="HH2" s="45"/>
      <c r="HI2" s="45"/>
      <c r="HJ2" s="45"/>
      <c r="HK2" s="45"/>
      <c r="HL2" s="45"/>
      <c r="HM2" s="45"/>
      <c r="HN2" s="45"/>
      <c r="HO2" s="45"/>
      <c r="HP2" s="45"/>
      <c r="HQ2" s="45"/>
      <c r="HR2" s="45"/>
      <c r="HS2" s="45"/>
      <c r="HT2" s="45"/>
      <c r="HU2" s="45"/>
      <c r="HV2" s="45"/>
      <c r="HW2" s="45"/>
      <c r="HX2" s="45"/>
      <c r="HY2" s="45"/>
      <c r="HZ2" s="45"/>
      <c r="IA2" s="45"/>
      <c r="IB2" s="45"/>
      <c r="IC2" s="45"/>
      <c r="ID2" s="45"/>
      <c r="IE2" s="45"/>
      <c r="IF2" s="45"/>
      <c r="IG2" s="45"/>
      <c r="IH2" s="45"/>
      <c r="II2" s="45"/>
      <c r="IJ2" s="45"/>
      <c r="IK2" s="45"/>
      <c r="IL2" s="45"/>
      <c r="IM2" s="45"/>
      <c r="IN2" s="45"/>
      <c r="IO2" s="45"/>
      <c r="IP2" s="45"/>
      <c r="IQ2" s="45"/>
      <c r="IR2" s="45"/>
      <c r="IS2" s="45"/>
      <c r="IT2" s="45"/>
      <c r="IU2" s="45"/>
      <c r="IV2" s="45"/>
    </row>
    <row r="3" spans="1:256" s="392" customFormat="1" x14ac:dyDescent="0.25">
      <c r="A3" s="965" t="s">
        <v>1045</v>
      </c>
      <c r="B3" s="965"/>
      <c r="C3" s="965"/>
      <c r="D3" s="965"/>
      <c r="E3" s="965"/>
      <c r="F3" s="965"/>
      <c r="G3" s="965"/>
      <c r="H3" s="965"/>
      <c r="I3" s="965"/>
      <c r="J3" s="965"/>
      <c r="K3" s="96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c r="BG3" s="45"/>
      <c r="BH3" s="45"/>
      <c r="BI3" s="45"/>
      <c r="BJ3" s="45"/>
      <c r="BK3" s="45"/>
      <c r="BL3" s="45"/>
      <c r="BM3" s="45"/>
      <c r="BN3" s="45"/>
      <c r="BO3" s="45"/>
      <c r="BP3" s="45"/>
      <c r="BQ3" s="45"/>
      <c r="BR3" s="45"/>
      <c r="BS3" s="45"/>
      <c r="BT3" s="45"/>
      <c r="BU3" s="45"/>
      <c r="BV3" s="45"/>
      <c r="BW3" s="45"/>
      <c r="BX3" s="45"/>
      <c r="BY3" s="45"/>
      <c r="BZ3" s="45"/>
      <c r="CA3" s="45"/>
      <c r="CB3" s="45"/>
      <c r="CC3" s="45"/>
      <c r="CD3" s="45"/>
      <c r="CE3" s="45"/>
      <c r="CF3" s="45"/>
      <c r="CG3" s="45"/>
      <c r="CH3" s="45"/>
      <c r="CI3" s="45"/>
      <c r="CJ3" s="45"/>
      <c r="CK3" s="45"/>
      <c r="CL3" s="45"/>
      <c r="CM3" s="45"/>
      <c r="CN3" s="45"/>
      <c r="CO3" s="45"/>
      <c r="CP3" s="45"/>
      <c r="CQ3" s="45"/>
      <c r="CR3" s="45"/>
      <c r="CS3" s="45"/>
      <c r="CT3" s="45"/>
      <c r="CU3" s="45"/>
      <c r="CV3" s="45"/>
      <c r="CW3" s="45"/>
      <c r="CX3" s="45"/>
      <c r="CY3" s="45"/>
      <c r="CZ3" s="45"/>
      <c r="DA3" s="45"/>
      <c r="DB3" s="45"/>
      <c r="DC3" s="45"/>
      <c r="DD3" s="45"/>
      <c r="DE3" s="45"/>
      <c r="DF3" s="45"/>
      <c r="DG3" s="45"/>
      <c r="DH3" s="45"/>
      <c r="DI3" s="45"/>
      <c r="DJ3" s="45"/>
      <c r="DK3" s="45"/>
      <c r="DL3" s="45"/>
      <c r="DM3" s="45"/>
      <c r="DN3" s="45"/>
      <c r="DO3" s="45"/>
      <c r="DP3" s="45"/>
      <c r="DQ3" s="45"/>
      <c r="DR3" s="45"/>
      <c r="DS3" s="45"/>
      <c r="DT3" s="45"/>
      <c r="DU3" s="45"/>
      <c r="DV3" s="45"/>
      <c r="DW3" s="45"/>
      <c r="DX3" s="45"/>
      <c r="DY3" s="45"/>
      <c r="DZ3" s="45"/>
      <c r="EA3" s="45"/>
      <c r="EB3" s="45"/>
      <c r="EC3" s="45"/>
      <c r="ED3" s="45"/>
      <c r="EE3" s="45"/>
      <c r="EF3" s="45"/>
      <c r="EG3" s="45"/>
      <c r="EH3" s="45"/>
      <c r="EI3" s="45"/>
      <c r="EJ3" s="45"/>
      <c r="EK3" s="45"/>
      <c r="EL3" s="45"/>
      <c r="EM3" s="45"/>
      <c r="EN3" s="45"/>
      <c r="EO3" s="45"/>
      <c r="EP3" s="45"/>
      <c r="EQ3" s="45"/>
      <c r="ER3" s="45"/>
      <c r="ES3" s="45"/>
      <c r="ET3" s="45"/>
      <c r="EU3" s="45"/>
      <c r="EV3" s="45"/>
      <c r="EW3" s="45"/>
      <c r="EX3" s="45"/>
      <c r="EY3" s="45"/>
      <c r="EZ3" s="45"/>
      <c r="FA3" s="45"/>
      <c r="FB3" s="45"/>
      <c r="FC3" s="45"/>
      <c r="FD3" s="45"/>
      <c r="FE3" s="45"/>
      <c r="FF3" s="45"/>
      <c r="FG3" s="45"/>
      <c r="FH3" s="45"/>
      <c r="FI3" s="45"/>
      <c r="FJ3" s="45"/>
      <c r="FK3" s="45"/>
      <c r="FL3" s="45"/>
      <c r="FM3" s="45"/>
      <c r="FN3" s="45"/>
      <c r="FO3" s="45"/>
      <c r="FP3" s="45"/>
      <c r="FQ3" s="45"/>
      <c r="FR3" s="45"/>
      <c r="FS3" s="45"/>
      <c r="FT3" s="45"/>
      <c r="FU3" s="45"/>
      <c r="FV3" s="45"/>
      <c r="FW3" s="45"/>
      <c r="FX3" s="45"/>
      <c r="FY3" s="45"/>
      <c r="FZ3" s="45"/>
      <c r="GA3" s="45"/>
      <c r="GB3" s="45"/>
      <c r="GC3" s="45"/>
      <c r="GD3" s="45"/>
      <c r="GE3" s="45"/>
      <c r="GF3" s="45"/>
      <c r="GG3" s="45"/>
      <c r="GH3" s="45"/>
      <c r="GI3" s="45"/>
      <c r="GJ3" s="45"/>
      <c r="GK3" s="45"/>
      <c r="GL3" s="45"/>
      <c r="GM3" s="45"/>
      <c r="GN3" s="45"/>
      <c r="GO3" s="45"/>
      <c r="GP3" s="45"/>
      <c r="GQ3" s="45"/>
      <c r="GR3" s="45"/>
      <c r="GS3" s="45"/>
      <c r="GT3" s="45"/>
      <c r="GU3" s="45"/>
      <c r="GV3" s="45"/>
      <c r="GW3" s="45"/>
      <c r="GX3" s="45"/>
      <c r="GY3" s="45"/>
      <c r="GZ3" s="45"/>
      <c r="HA3" s="45"/>
      <c r="HB3" s="45"/>
      <c r="HC3" s="45"/>
      <c r="HD3" s="45"/>
      <c r="HE3" s="45"/>
      <c r="HF3" s="45"/>
      <c r="HG3" s="45"/>
      <c r="HH3" s="45"/>
      <c r="HI3" s="45"/>
      <c r="HJ3" s="45"/>
      <c r="HK3" s="45"/>
      <c r="HL3" s="45"/>
      <c r="HM3" s="45"/>
      <c r="HN3" s="45"/>
      <c r="HO3" s="45"/>
      <c r="HP3" s="45"/>
      <c r="HQ3" s="45"/>
      <c r="HR3" s="45"/>
      <c r="HS3" s="45"/>
      <c r="HT3" s="45"/>
      <c r="HU3" s="45"/>
      <c r="HV3" s="45"/>
      <c r="HW3" s="45"/>
      <c r="HX3" s="45"/>
      <c r="HY3" s="45"/>
      <c r="HZ3" s="45"/>
      <c r="IA3" s="45"/>
      <c r="IB3" s="45"/>
      <c r="IC3" s="45"/>
      <c r="ID3" s="45"/>
      <c r="IE3" s="45"/>
      <c r="IF3" s="45"/>
      <c r="IG3" s="45"/>
      <c r="IH3" s="45"/>
      <c r="II3" s="45"/>
      <c r="IJ3" s="45"/>
      <c r="IK3" s="45"/>
      <c r="IL3" s="45"/>
      <c r="IM3" s="45"/>
      <c r="IN3" s="45"/>
      <c r="IO3" s="45"/>
      <c r="IP3" s="45"/>
      <c r="IQ3" s="45"/>
      <c r="IR3" s="45"/>
      <c r="IS3" s="45"/>
      <c r="IT3" s="45"/>
      <c r="IU3" s="45"/>
      <c r="IV3" s="45"/>
    </row>
    <row r="5" spans="1:256" ht="16.5" thickBot="1" x14ac:dyDescent="0.3"/>
    <row r="6" spans="1:256" ht="87" customHeight="1" thickTop="1" thickBot="1" x14ac:dyDescent="0.3">
      <c r="A6" s="971" t="s">
        <v>136</v>
      </c>
      <c r="B6" s="971" t="s">
        <v>153</v>
      </c>
      <c r="C6" s="958" t="s">
        <v>22</v>
      </c>
      <c r="D6" s="959"/>
      <c r="E6" s="960"/>
      <c r="F6" s="958" t="s">
        <v>23</v>
      </c>
      <c r="G6" s="959"/>
      <c r="H6" s="960"/>
      <c r="I6" s="961" t="s">
        <v>143</v>
      </c>
      <c r="J6" s="962"/>
      <c r="K6" s="963"/>
    </row>
    <row r="7" spans="1:256" ht="33" customHeight="1" thickTop="1" thickBot="1" x14ac:dyDescent="0.3">
      <c r="A7" s="972"/>
      <c r="B7" s="972"/>
      <c r="C7" s="612" t="s">
        <v>347</v>
      </c>
      <c r="D7" s="612" t="s">
        <v>348</v>
      </c>
      <c r="E7" s="612" t="s">
        <v>821</v>
      </c>
      <c r="F7" s="612" t="s">
        <v>347</v>
      </c>
      <c r="G7" s="612" t="s">
        <v>348</v>
      </c>
      <c r="H7" s="612" t="s">
        <v>821</v>
      </c>
      <c r="I7" s="612" t="s">
        <v>347</v>
      </c>
      <c r="J7" s="612" t="s">
        <v>348</v>
      </c>
      <c r="K7" s="612" t="s">
        <v>821</v>
      </c>
    </row>
    <row r="8" spans="1:256" ht="17.25" thickTop="1" thickBot="1" x14ac:dyDescent="0.3">
      <c r="A8" s="125" t="s">
        <v>137</v>
      </c>
      <c r="B8" s="126"/>
      <c r="C8" s="611" t="s">
        <v>182</v>
      </c>
      <c r="D8" s="611" t="s">
        <v>349</v>
      </c>
      <c r="E8" s="611" t="s">
        <v>350</v>
      </c>
      <c r="F8" s="610" t="s">
        <v>183</v>
      </c>
      <c r="G8" s="610" t="s">
        <v>351</v>
      </c>
      <c r="H8" s="610" t="s">
        <v>352</v>
      </c>
      <c r="I8" s="613" t="s">
        <v>355</v>
      </c>
      <c r="J8" s="613" t="s">
        <v>356</v>
      </c>
      <c r="K8" s="613" t="s">
        <v>357</v>
      </c>
    </row>
    <row r="9" spans="1:256" ht="32.25" thickTop="1" x14ac:dyDescent="0.25">
      <c r="A9" s="12" t="s">
        <v>185</v>
      </c>
      <c r="B9" s="41" t="s">
        <v>189</v>
      </c>
      <c r="C9" s="514">
        <v>8947</v>
      </c>
      <c r="D9" s="40">
        <v>-87</v>
      </c>
      <c r="E9" s="40">
        <f>SUM(C9:D9)</f>
        <v>8860</v>
      </c>
      <c r="F9" s="5">
        <v>0</v>
      </c>
      <c r="G9" s="5"/>
      <c r="H9" s="5">
        <f>SUM(F9:G9)</f>
        <v>0</v>
      </c>
      <c r="I9" s="3">
        <f>SUM(F9+C9)</f>
        <v>8947</v>
      </c>
      <c r="J9" s="3">
        <f t="shared" ref="J9:K11" si="0">SUM(G9+D9)</f>
        <v>-87</v>
      </c>
      <c r="K9" s="3">
        <f t="shared" si="0"/>
        <v>8860</v>
      </c>
    </row>
    <row r="10" spans="1:256" ht="31.5" x14ac:dyDescent="0.25">
      <c r="A10" s="12" t="s">
        <v>315</v>
      </c>
      <c r="B10" s="12" t="s">
        <v>190</v>
      </c>
      <c r="C10" s="5">
        <v>2187883</v>
      </c>
      <c r="D10" s="5"/>
      <c r="E10" s="5">
        <f>SUM(C10:D10)</f>
        <v>2187883</v>
      </c>
      <c r="F10" s="5">
        <v>0</v>
      </c>
      <c r="G10" s="5"/>
      <c r="H10" s="5">
        <f>SUM(F10:G10)</f>
        <v>0</v>
      </c>
      <c r="I10" s="3">
        <f>SUM(F10+C10)</f>
        <v>2187883</v>
      </c>
      <c r="J10" s="3">
        <f t="shared" si="0"/>
        <v>0</v>
      </c>
      <c r="K10" s="3">
        <f t="shared" si="0"/>
        <v>2187883</v>
      </c>
    </row>
    <row r="11" spans="1:256" ht="47.25" x14ac:dyDescent="0.25">
      <c r="A11" s="81" t="s">
        <v>311</v>
      </c>
      <c r="B11" s="12" t="s">
        <v>191</v>
      </c>
      <c r="C11" s="5">
        <v>2197601</v>
      </c>
      <c r="D11" s="5">
        <v>-1</v>
      </c>
      <c r="E11" s="5">
        <f t="shared" ref="E11:E17" si="1">SUM(C11:D11)</f>
        <v>2197600</v>
      </c>
      <c r="F11" s="5">
        <v>0</v>
      </c>
      <c r="G11" s="5"/>
      <c r="H11" s="5">
        <f t="shared" ref="H11:H17" si="2">SUM(F11:G11)</f>
        <v>0</v>
      </c>
      <c r="I11" s="3">
        <f>SUM(F11+C11)</f>
        <v>2197601</v>
      </c>
      <c r="J11" s="3">
        <f t="shared" si="0"/>
        <v>-1</v>
      </c>
      <c r="K11" s="3">
        <f t="shared" si="0"/>
        <v>2197600</v>
      </c>
      <c r="L11" s="13">
        <v>-1</v>
      </c>
    </row>
    <row r="12" spans="1:256" ht="31.5" x14ac:dyDescent="0.25">
      <c r="A12" s="12" t="s">
        <v>186</v>
      </c>
      <c r="B12" s="12" t="s">
        <v>192</v>
      </c>
      <c r="C12" s="5">
        <v>673221</v>
      </c>
      <c r="D12" s="5">
        <v>0</v>
      </c>
      <c r="E12" s="5">
        <f t="shared" si="1"/>
        <v>673221</v>
      </c>
      <c r="F12" s="5">
        <v>0</v>
      </c>
      <c r="G12" s="5"/>
      <c r="H12" s="5">
        <f t="shared" si="2"/>
        <v>0</v>
      </c>
      <c r="I12" s="3">
        <f t="shared" ref="I12:I17" si="3">SUM(C12+F12)</f>
        <v>673221</v>
      </c>
      <c r="J12" s="3">
        <f t="shared" ref="J12:K17" si="4">SUM(D12+G12)</f>
        <v>0</v>
      </c>
      <c r="K12" s="3">
        <f t="shared" si="4"/>
        <v>673221</v>
      </c>
    </row>
    <row r="13" spans="1:256" ht="31.5" x14ac:dyDescent="0.25">
      <c r="A13" s="12" t="s">
        <v>25</v>
      </c>
      <c r="B13" s="12"/>
      <c r="C13" s="5">
        <v>234160</v>
      </c>
      <c r="D13" s="5"/>
      <c r="E13" s="5">
        <f t="shared" si="1"/>
        <v>234160</v>
      </c>
      <c r="F13" s="5">
        <v>0</v>
      </c>
      <c r="G13" s="5"/>
      <c r="H13" s="5">
        <f t="shared" si="2"/>
        <v>0</v>
      </c>
      <c r="I13" s="3">
        <f t="shared" si="3"/>
        <v>234160</v>
      </c>
      <c r="J13" s="3">
        <f t="shared" si="4"/>
        <v>0</v>
      </c>
      <c r="K13" s="3">
        <f t="shared" si="4"/>
        <v>234160</v>
      </c>
    </row>
    <row r="14" spans="1:256" ht="31.5" x14ac:dyDescent="0.25">
      <c r="A14" s="12" t="s">
        <v>26</v>
      </c>
      <c r="B14" s="12"/>
      <c r="C14" s="5">
        <v>177000</v>
      </c>
      <c r="D14" s="5"/>
      <c r="E14" s="5">
        <f t="shared" si="1"/>
        <v>177000</v>
      </c>
      <c r="F14" s="5">
        <v>0</v>
      </c>
      <c r="G14" s="5"/>
      <c r="H14" s="5">
        <f t="shared" si="2"/>
        <v>0</v>
      </c>
      <c r="I14" s="3">
        <f t="shared" si="3"/>
        <v>177000</v>
      </c>
      <c r="J14" s="3">
        <f t="shared" si="4"/>
        <v>0</v>
      </c>
      <c r="K14" s="3">
        <f t="shared" si="4"/>
        <v>177000</v>
      </c>
    </row>
    <row r="15" spans="1:256" x14ac:dyDescent="0.25">
      <c r="A15" s="12" t="s">
        <v>778</v>
      </c>
      <c r="B15" s="12"/>
      <c r="C15" s="5">
        <v>30000</v>
      </c>
      <c r="D15" s="5"/>
      <c r="E15" s="5">
        <f t="shared" ref="E15" si="5">SUM(C15:D15)</f>
        <v>30000</v>
      </c>
      <c r="F15" s="5">
        <v>0</v>
      </c>
      <c r="G15" s="5"/>
      <c r="H15" s="5">
        <f t="shared" ref="H15" si="6">SUM(F15:G15)</f>
        <v>0</v>
      </c>
      <c r="I15" s="3">
        <f t="shared" si="3"/>
        <v>30000</v>
      </c>
      <c r="J15" s="3">
        <f t="shared" ref="J15" si="7">SUM(D15+G15)</f>
        <v>0</v>
      </c>
      <c r="K15" s="3">
        <f t="shared" ref="K15" si="8">SUM(E15+H15)</f>
        <v>30000</v>
      </c>
    </row>
    <row r="16" spans="1:256" x14ac:dyDescent="0.25">
      <c r="A16" s="12" t="s">
        <v>27</v>
      </c>
      <c r="B16" s="12"/>
      <c r="C16" s="5">
        <v>0</v>
      </c>
      <c r="D16" s="5"/>
      <c r="E16" s="5">
        <f t="shared" si="1"/>
        <v>0</v>
      </c>
      <c r="F16" s="5">
        <v>0</v>
      </c>
      <c r="G16" s="5"/>
      <c r="H16" s="5">
        <f t="shared" si="2"/>
        <v>0</v>
      </c>
      <c r="I16" s="3">
        <f t="shared" si="3"/>
        <v>0</v>
      </c>
      <c r="J16" s="3">
        <f t="shared" si="4"/>
        <v>0</v>
      </c>
      <c r="K16" s="3">
        <f t="shared" si="4"/>
        <v>0</v>
      </c>
    </row>
    <row r="17" spans="1:12" ht="42" customHeight="1" x14ac:dyDescent="0.25">
      <c r="A17" s="12" t="s">
        <v>316</v>
      </c>
      <c r="B17" s="12" t="s">
        <v>193</v>
      </c>
      <c r="C17" s="5">
        <v>208290</v>
      </c>
      <c r="D17" s="5">
        <v>2000884</v>
      </c>
      <c r="E17" s="5">
        <f t="shared" si="1"/>
        <v>2209174</v>
      </c>
      <c r="F17" s="5">
        <v>0</v>
      </c>
      <c r="G17" s="5"/>
      <c r="H17" s="5">
        <f t="shared" si="2"/>
        <v>0</v>
      </c>
      <c r="I17" s="3">
        <f t="shared" si="3"/>
        <v>208290</v>
      </c>
      <c r="J17" s="3">
        <f t="shared" si="4"/>
        <v>2000884</v>
      </c>
      <c r="K17" s="3">
        <f t="shared" si="4"/>
        <v>2209174</v>
      </c>
    </row>
    <row r="18" spans="1:12" s="128" customFormat="1" ht="31.5" x14ac:dyDescent="0.25">
      <c r="A18" s="127" t="s">
        <v>188</v>
      </c>
      <c r="B18" s="127" t="s">
        <v>194</v>
      </c>
      <c r="C18" s="7">
        <f>SUM(C9:C11,C12,C17)</f>
        <v>5275942</v>
      </c>
      <c r="D18" s="7">
        <f>SUM(D9:D11,D12,D17)-1</f>
        <v>2000795</v>
      </c>
      <c r="E18" s="7">
        <f>SUM(E9:E11,E12,E17)-1</f>
        <v>7276737</v>
      </c>
      <c r="F18" s="7">
        <f>SUM(F9:F11,F12,F17)</f>
        <v>0</v>
      </c>
      <c r="G18" s="7">
        <f t="shared" ref="G18:H18" si="9">SUM(G9:G11,G12,G17)</f>
        <v>0</v>
      </c>
      <c r="H18" s="7">
        <f t="shared" si="9"/>
        <v>0</v>
      </c>
      <c r="I18" s="7">
        <f>SUM(I9:I11,I12,I17)</f>
        <v>5275942</v>
      </c>
      <c r="J18" s="7">
        <f>SUM(J9:J11,J12,J17)-1</f>
        <v>2000795</v>
      </c>
      <c r="K18" s="7">
        <f>SUM(K9:K11,K12,K17)-1</f>
        <v>7276737</v>
      </c>
      <c r="L18" s="128">
        <v>-1</v>
      </c>
    </row>
    <row r="19" spans="1:12" s="128" customFormat="1" ht="31.5" x14ac:dyDescent="0.25">
      <c r="A19" s="127" t="s">
        <v>226</v>
      </c>
      <c r="B19" s="127" t="s">
        <v>227</v>
      </c>
      <c r="C19" s="7">
        <v>2086636</v>
      </c>
      <c r="D19" s="7">
        <v>-1046006</v>
      </c>
      <c r="E19" s="7">
        <f>SUM(C19:D19)</f>
        <v>1040630</v>
      </c>
      <c r="F19" s="7">
        <v>1540635</v>
      </c>
      <c r="G19" s="7">
        <v>121848</v>
      </c>
      <c r="H19" s="7">
        <f>SUM(F19:G19)</f>
        <v>1662483</v>
      </c>
      <c r="I19" s="7">
        <f>SUM(C19+F19)</f>
        <v>3627271</v>
      </c>
      <c r="J19" s="7">
        <f>SUM(D19+G19)</f>
        <v>-924158</v>
      </c>
      <c r="K19" s="7">
        <f>SUM(E19+H19)</f>
        <v>2703113</v>
      </c>
    </row>
    <row r="20" spans="1:12" ht="31.5" x14ac:dyDescent="0.25">
      <c r="A20" s="129" t="s">
        <v>228</v>
      </c>
      <c r="B20" s="129" t="s">
        <v>164</v>
      </c>
      <c r="C20" s="3">
        <f>SUM(C18+C19)</f>
        <v>7362578</v>
      </c>
      <c r="D20" s="3">
        <f t="shared" ref="D20:H20" si="10">SUM(D18+D19)</f>
        <v>954789</v>
      </c>
      <c r="E20" s="3">
        <f t="shared" si="10"/>
        <v>8317367</v>
      </c>
      <c r="F20" s="3">
        <f>SUM(F18+F19)</f>
        <v>1540635</v>
      </c>
      <c r="G20" s="3">
        <f t="shared" si="10"/>
        <v>121848</v>
      </c>
      <c r="H20" s="3">
        <f t="shared" si="10"/>
        <v>1662483</v>
      </c>
      <c r="I20" s="3">
        <f>SUM(I18+I19)</f>
        <v>8903213</v>
      </c>
      <c r="J20" s="3">
        <f t="shared" ref="J20:K20" si="11">SUM(J18+J19)</f>
        <v>1076637</v>
      </c>
      <c r="K20" s="3">
        <f t="shared" si="11"/>
        <v>9979850</v>
      </c>
    </row>
    <row r="21" spans="1:12" s="131" customFormat="1" ht="31.5" x14ac:dyDescent="0.25">
      <c r="A21" s="127" t="s">
        <v>229</v>
      </c>
      <c r="B21" s="130" t="s">
        <v>195</v>
      </c>
      <c r="C21" s="62">
        <v>1127500</v>
      </c>
      <c r="D21" s="62">
        <v>-750000</v>
      </c>
      <c r="E21" s="62">
        <f>SUM(C21:D21)</f>
        <v>377500</v>
      </c>
      <c r="F21" s="62">
        <v>0</v>
      </c>
      <c r="G21" s="62"/>
      <c r="H21" s="62">
        <f>SUM(F21:G21)</f>
        <v>0</v>
      </c>
      <c r="I21" s="7">
        <f>SUM(C21+F21)</f>
        <v>1127500</v>
      </c>
      <c r="J21" s="7">
        <f t="shared" ref="J21:K22" si="12">SUM(D21+G21)</f>
        <v>-750000</v>
      </c>
      <c r="K21" s="7">
        <f t="shared" si="12"/>
        <v>377500</v>
      </c>
    </row>
    <row r="22" spans="1:12" s="131" customFormat="1" ht="31.5" x14ac:dyDescent="0.25">
      <c r="A22" s="127" t="s">
        <v>231</v>
      </c>
      <c r="B22" s="130" t="s">
        <v>230</v>
      </c>
      <c r="C22" s="62">
        <v>9351091</v>
      </c>
      <c r="D22" s="62">
        <v>-122606</v>
      </c>
      <c r="E22" s="62">
        <f>SUM(C22:D22)</f>
        <v>9228485</v>
      </c>
      <c r="F22" s="62">
        <v>2866</v>
      </c>
      <c r="G22" s="62">
        <v>19370</v>
      </c>
      <c r="H22" s="62">
        <f>SUM(F22:G22)</f>
        <v>22236</v>
      </c>
      <c r="I22" s="7">
        <f>SUM(C22+F22)</f>
        <v>9353957</v>
      </c>
      <c r="J22" s="7">
        <f t="shared" si="12"/>
        <v>-103236</v>
      </c>
      <c r="K22" s="7">
        <f t="shared" si="12"/>
        <v>9250721</v>
      </c>
    </row>
    <row r="23" spans="1:12" s="133" customFormat="1" ht="31.5" x14ac:dyDescent="0.25">
      <c r="A23" s="129" t="s">
        <v>232</v>
      </c>
      <c r="B23" s="132" t="s">
        <v>165</v>
      </c>
      <c r="C23" s="19">
        <f>SUM(C21+C22)</f>
        <v>10478591</v>
      </c>
      <c r="D23" s="19">
        <f t="shared" ref="D23:H23" si="13">SUM(D21+D22)</f>
        <v>-872606</v>
      </c>
      <c r="E23" s="19">
        <f t="shared" si="13"/>
        <v>9605985</v>
      </c>
      <c r="F23" s="19">
        <f>SUM(F21+F22)</f>
        <v>2866</v>
      </c>
      <c r="G23" s="19">
        <f t="shared" si="13"/>
        <v>19370</v>
      </c>
      <c r="H23" s="19">
        <f t="shared" si="13"/>
        <v>22236</v>
      </c>
      <c r="I23" s="19">
        <f>SUM(I21+I22)</f>
        <v>10481457</v>
      </c>
      <c r="J23" s="19">
        <f t="shared" ref="J23:K23" si="14">SUM(J21+J22)</f>
        <v>-853236</v>
      </c>
      <c r="K23" s="19">
        <f t="shared" si="14"/>
        <v>9628221</v>
      </c>
    </row>
    <row r="24" spans="1:12" s="133" customFormat="1" ht="31.5" x14ac:dyDescent="0.25">
      <c r="A24" s="129" t="s">
        <v>991</v>
      </c>
      <c r="B24" s="129" t="s">
        <v>992</v>
      </c>
      <c r="C24" s="3">
        <v>130</v>
      </c>
      <c r="D24" s="3">
        <v>-12</v>
      </c>
      <c r="E24" s="3">
        <f>SUM(C24:D24)</f>
        <v>118</v>
      </c>
      <c r="F24" s="3">
        <v>0</v>
      </c>
      <c r="G24" s="3"/>
      <c r="H24" s="3">
        <f>SUM(F24:G24)</f>
        <v>0</v>
      </c>
      <c r="I24" s="3">
        <f>SUM(F24+C24)</f>
        <v>130</v>
      </c>
      <c r="J24" s="3">
        <f t="shared" ref="J24" si="15">SUM(G24+D24)</f>
        <v>-12</v>
      </c>
      <c r="K24" s="3">
        <f t="shared" ref="K24" si="16">SUM(H24+E24)</f>
        <v>118</v>
      </c>
    </row>
    <row r="25" spans="1:12" x14ac:dyDescent="0.25">
      <c r="A25" s="12" t="s">
        <v>993</v>
      </c>
      <c r="B25" s="12" t="s">
        <v>196</v>
      </c>
      <c r="C25" s="2">
        <v>2300000</v>
      </c>
      <c r="D25" s="2">
        <v>-11315</v>
      </c>
      <c r="E25" s="2">
        <f>SUM(C25:D25)</f>
        <v>2288685</v>
      </c>
      <c r="F25" s="2">
        <v>0</v>
      </c>
      <c r="G25" s="2"/>
      <c r="H25" s="2">
        <f>SUM(F25:G25)</f>
        <v>0</v>
      </c>
      <c r="I25" s="3">
        <f>SUM(F25+C25)</f>
        <v>2300000</v>
      </c>
      <c r="J25" s="3">
        <f t="shared" ref="J25:K25" si="17">SUM(G25+D25)</f>
        <v>-11315</v>
      </c>
      <c r="K25" s="3">
        <f t="shared" si="17"/>
        <v>2288685</v>
      </c>
    </row>
    <row r="26" spans="1:12" s="128" customFormat="1" x14ac:dyDescent="0.25">
      <c r="A26" s="127" t="s">
        <v>994</v>
      </c>
      <c r="B26" s="127" t="s">
        <v>196</v>
      </c>
      <c r="C26" s="7">
        <f>SUM(C25:C25)</f>
        <v>2300000</v>
      </c>
      <c r="D26" s="7">
        <f t="shared" ref="D26:H26" si="18">SUM(D25:D25)</f>
        <v>-11315</v>
      </c>
      <c r="E26" s="7">
        <f t="shared" si="18"/>
        <v>2288685</v>
      </c>
      <c r="F26" s="7">
        <f>SUM(F25:F25)</f>
        <v>0</v>
      </c>
      <c r="G26" s="7">
        <f t="shared" si="18"/>
        <v>0</v>
      </c>
      <c r="H26" s="7">
        <f t="shared" si="18"/>
        <v>0</v>
      </c>
      <c r="I26" s="7">
        <f>SUM(I25:I25)</f>
        <v>2300000</v>
      </c>
      <c r="J26" s="7">
        <f t="shared" ref="J26:K26" si="19">SUM(J25:J25)</f>
        <v>-11315</v>
      </c>
      <c r="K26" s="7">
        <f t="shared" si="19"/>
        <v>2288685</v>
      </c>
    </row>
    <row r="27" spans="1:12" x14ac:dyDescent="0.25">
      <c r="A27" s="12" t="s">
        <v>995</v>
      </c>
      <c r="B27" s="12" t="s">
        <v>197</v>
      </c>
      <c r="C27" s="2">
        <v>15752195</v>
      </c>
      <c r="D27" s="2">
        <v>1301231</v>
      </c>
      <c r="E27" s="2">
        <f>SUM(C27:D27)</f>
        <v>17053426</v>
      </c>
      <c r="F27" s="2">
        <v>0</v>
      </c>
      <c r="G27" s="2"/>
      <c r="H27" s="2">
        <f>SUM(F27:G27)</f>
        <v>0</v>
      </c>
      <c r="I27" s="3">
        <f>SUM(F27+C27)</f>
        <v>15752195</v>
      </c>
      <c r="J27" s="3">
        <f t="shared" ref="J27:K27" si="20">SUM(G27+D27)</f>
        <v>1301231</v>
      </c>
      <c r="K27" s="3">
        <f t="shared" si="20"/>
        <v>17053426</v>
      </c>
    </row>
    <row r="28" spans="1:12" s="131" customFormat="1" x14ac:dyDescent="0.25">
      <c r="A28" s="127" t="s">
        <v>996</v>
      </c>
      <c r="B28" s="127" t="s">
        <v>197</v>
      </c>
      <c r="C28" s="7">
        <f>SUM(C27)</f>
        <v>15752195</v>
      </c>
      <c r="D28" s="7">
        <f t="shared" ref="D28:H28" si="21">SUM(D27)</f>
        <v>1301231</v>
      </c>
      <c r="E28" s="7">
        <f t="shared" si="21"/>
        <v>17053426</v>
      </c>
      <c r="F28" s="7">
        <f>SUM(F27)</f>
        <v>0</v>
      </c>
      <c r="G28" s="7">
        <f t="shared" si="21"/>
        <v>0</v>
      </c>
      <c r="H28" s="7">
        <f t="shared" si="21"/>
        <v>0</v>
      </c>
      <c r="I28" s="7">
        <f>SUM(I27)</f>
        <v>15752195</v>
      </c>
      <c r="J28" s="7">
        <f t="shared" ref="J28:K28" si="22">SUM(J27)</f>
        <v>1301231</v>
      </c>
      <c r="K28" s="7">
        <f t="shared" si="22"/>
        <v>17053426</v>
      </c>
    </row>
    <row r="29" spans="1:12" s="131" customFormat="1" x14ac:dyDescent="0.25">
      <c r="A29" s="127" t="s">
        <v>997</v>
      </c>
      <c r="B29" s="127" t="s">
        <v>198</v>
      </c>
      <c r="C29" s="7">
        <v>0</v>
      </c>
      <c r="D29" s="7"/>
      <c r="E29" s="7">
        <f>SUM(C29:D29)</f>
        <v>0</v>
      </c>
      <c r="F29" s="11">
        <v>0</v>
      </c>
      <c r="G29" s="11"/>
      <c r="H29" s="11">
        <f>SUM(F29:G29)</f>
        <v>0</v>
      </c>
      <c r="I29" s="7">
        <f>SUM(F29+C29)</f>
        <v>0</v>
      </c>
      <c r="J29" s="7">
        <f t="shared" ref="J29:K30" si="23">SUM(G29+D29)</f>
        <v>0</v>
      </c>
      <c r="K29" s="7">
        <f t="shared" si="23"/>
        <v>0</v>
      </c>
    </row>
    <row r="30" spans="1:12" x14ac:dyDescent="0.25">
      <c r="A30" s="12" t="s">
        <v>998</v>
      </c>
      <c r="B30" s="12" t="s">
        <v>199</v>
      </c>
      <c r="C30" s="2">
        <v>16082</v>
      </c>
      <c r="D30" s="2">
        <v>50</v>
      </c>
      <c r="E30" s="2">
        <f>SUM(C30:D30)</f>
        <v>16132</v>
      </c>
      <c r="F30" s="2"/>
      <c r="G30" s="2"/>
      <c r="H30" s="2">
        <f>SUM(F30:G30)</f>
        <v>0</v>
      </c>
      <c r="I30" s="3">
        <f>SUM(F30+C30)</f>
        <v>16082</v>
      </c>
      <c r="J30" s="3">
        <f t="shared" si="23"/>
        <v>50</v>
      </c>
      <c r="K30" s="3">
        <f t="shared" si="23"/>
        <v>16132</v>
      </c>
    </row>
    <row r="31" spans="1:12" x14ac:dyDescent="0.25">
      <c r="A31" s="12" t="s">
        <v>999</v>
      </c>
      <c r="B31" s="12" t="s">
        <v>199</v>
      </c>
      <c r="C31" s="2">
        <v>0</v>
      </c>
      <c r="D31" s="2">
        <v>0</v>
      </c>
      <c r="E31" s="2">
        <f>SUM(C31:D31)</f>
        <v>0</v>
      </c>
      <c r="F31" s="2"/>
      <c r="G31" s="2"/>
      <c r="H31" s="2">
        <f>SUM(F31:G31)</f>
        <v>0</v>
      </c>
      <c r="I31" s="3">
        <f>SUM(F31+C31)</f>
        <v>0</v>
      </c>
      <c r="J31" s="3">
        <f t="shared" ref="J31" si="24">SUM(G31+D31)</f>
        <v>0</v>
      </c>
      <c r="K31" s="3">
        <f t="shared" ref="K31" si="25">SUM(H31+E31)</f>
        <v>0</v>
      </c>
    </row>
    <row r="32" spans="1:12" s="131" customFormat="1" ht="31.5" x14ac:dyDescent="0.25">
      <c r="A32" s="127" t="s">
        <v>1000</v>
      </c>
      <c r="B32" s="127" t="s">
        <v>199</v>
      </c>
      <c r="C32" s="7">
        <f>SUM(C30:C31)</f>
        <v>16082</v>
      </c>
      <c r="D32" s="7">
        <f t="shared" ref="D32:E32" si="26">SUM(D30:D31)</f>
        <v>50</v>
      </c>
      <c r="E32" s="7">
        <f t="shared" si="26"/>
        <v>16132</v>
      </c>
      <c r="F32" s="7">
        <f t="shared" ref="F32" si="27">SUM(F30:F31)</f>
        <v>0</v>
      </c>
      <c r="G32" s="7">
        <f t="shared" ref="G32" si="28">SUM(G30:G31)</f>
        <v>0</v>
      </c>
      <c r="H32" s="7">
        <f t="shared" ref="H32" si="29">SUM(H30:H31)</f>
        <v>0</v>
      </c>
      <c r="I32" s="7">
        <f t="shared" ref="I32" si="30">SUM(I30:I31)</f>
        <v>16082</v>
      </c>
      <c r="J32" s="7">
        <f t="shared" ref="J32" si="31">SUM(J30:J31)</f>
        <v>50</v>
      </c>
      <c r="K32" s="7">
        <f t="shared" ref="K32" si="32">SUM(K30:K31)</f>
        <v>16132</v>
      </c>
    </row>
    <row r="33" spans="1:12" s="131" customFormat="1" ht="31.5" x14ac:dyDescent="0.25">
      <c r="A33" s="127" t="s">
        <v>1001</v>
      </c>
      <c r="B33" s="127" t="s">
        <v>200</v>
      </c>
      <c r="C33" s="7">
        <f>SUM(C32+C29+C28)</f>
        <v>15768277</v>
      </c>
      <c r="D33" s="7">
        <f t="shared" ref="D33:K33" si="33">SUM(D32+D29+D28)</f>
        <v>1301281</v>
      </c>
      <c r="E33" s="7">
        <f t="shared" si="33"/>
        <v>17069558</v>
      </c>
      <c r="F33" s="7">
        <f>SUM(F32+F29+F28)</f>
        <v>0</v>
      </c>
      <c r="G33" s="7">
        <f t="shared" si="33"/>
        <v>0</v>
      </c>
      <c r="H33" s="7">
        <f t="shared" si="33"/>
        <v>0</v>
      </c>
      <c r="I33" s="7">
        <f t="shared" si="33"/>
        <v>15768277</v>
      </c>
      <c r="J33" s="7">
        <f t="shared" si="33"/>
        <v>1301281</v>
      </c>
      <c r="K33" s="7">
        <f t="shared" si="33"/>
        <v>17069558</v>
      </c>
    </row>
    <row r="34" spans="1:12" x14ac:dyDescent="0.25">
      <c r="A34" s="12" t="s">
        <v>1002</v>
      </c>
      <c r="B34" s="12" t="s">
        <v>201</v>
      </c>
      <c r="C34" s="2">
        <v>40000</v>
      </c>
      <c r="D34" s="2">
        <v>-3259</v>
      </c>
      <c r="E34" s="5">
        <f t="shared" ref="E34:E36" si="34">SUM(C34:D34)</f>
        <v>36741</v>
      </c>
      <c r="F34" s="2">
        <v>0</v>
      </c>
      <c r="G34" s="2"/>
      <c r="H34" s="5">
        <f t="shared" ref="H34:H36" si="35">SUM(F34:G34)</f>
        <v>0</v>
      </c>
      <c r="I34" s="2">
        <f t="shared" ref="I34:I36" si="36">SUM(F34+C34)</f>
        <v>40000</v>
      </c>
      <c r="J34" s="2">
        <f t="shared" ref="J34:J36" si="37">SUM(G34+D34)</f>
        <v>-3259</v>
      </c>
      <c r="K34" s="2">
        <f t="shared" ref="K34:K36" si="38">SUM(H34+E34)</f>
        <v>36741</v>
      </c>
    </row>
    <row r="35" spans="1:12" ht="31.5" x14ac:dyDescent="0.25">
      <c r="A35" s="12" t="s">
        <v>1003</v>
      </c>
      <c r="B35" s="12" t="s">
        <v>201</v>
      </c>
      <c r="C35" s="2">
        <v>19680</v>
      </c>
      <c r="D35" s="2">
        <v>2173</v>
      </c>
      <c r="E35" s="5">
        <f t="shared" si="34"/>
        <v>21853</v>
      </c>
      <c r="F35" s="2">
        <v>0</v>
      </c>
      <c r="G35" s="2"/>
      <c r="H35" s="5">
        <f t="shared" si="35"/>
        <v>0</v>
      </c>
      <c r="I35" s="2">
        <f t="shared" si="36"/>
        <v>19680</v>
      </c>
      <c r="J35" s="2">
        <f t="shared" si="37"/>
        <v>2173</v>
      </c>
      <c r="K35" s="2">
        <f t="shared" si="38"/>
        <v>21853</v>
      </c>
    </row>
    <row r="36" spans="1:12" x14ac:dyDescent="0.25">
      <c r="A36" s="12" t="s">
        <v>1004</v>
      </c>
      <c r="B36" s="12" t="s">
        <v>201</v>
      </c>
      <c r="C36" s="2">
        <v>400</v>
      </c>
      <c r="D36" s="2">
        <v>-59</v>
      </c>
      <c r="E36" s="5">
        <f t="shared" si="34"/>
        <v>341</v>
      </c>
      <c r="F36" s="2">
        <v>1207</v>
      </c>
      <c r="G36" s="2"/>
      <c r="H36" s="5">
        <f t="shared" si="35"/>
        <v>1207</v>
      </c>
      <c r="I36" s="2">
        <f t="shared" si="36"/>
        <v>1607</v>
      </c>
      <c r="J36" s="2">
        <f t="shared" si="37"/>
        <v>-59</v>
      </c>
      <c r="K36" s="2">
        <f t="shared" si="38"/>
        <v>1548</v>
      </c>
    </row>
    <row r="37" spans="1:12" s="131" customFormat="1" ht="31.5" x14ac:dyDescent="0.25">
      <c r="A37" s="127" t="s">
        <v>1005</v>
      </c>
      <c r="B37" s="127" t="s">
        <v>201</v>
      </c>
      <c r="C37" s="7">
        <f t="shared" ref="C37:K37" si="39">SUM(C34:C36)</f>
        <v>60080</v>
      </c>
      <c r="D37" s="7">
        <f t="shared" si="39"/>
        <v>-1145</v>
      </c>
      <c r="E37" s="7">
        <f t="shared" si="39"/>
        <v>58935</v>
      </c>
      <c r="F37" s="7">
        <f t="shared" si="39"/>
        <v>1207</v>
      </c>
      <c r="G37" s="7">
        <f t="shared" si="39"/>
        <v>0</v>
      </c>
      <c r="H37" s="7">
        <f t="shared" si="39"/>
        <v>1207</v>
      </c>
      <c r="I37" s="7">
        <f t="shared" si="39"/>
        <v>61287</v>
      </c>
      <c r="J37" s="7">
        <f t="shared" si="39"/>
        <v>-1145</v>
      </c>
      <c r="K37" s="7">
        <f t="shared" si="39"/>
        <v>60142</v>
      </c>
    </row>
    <row r="38" spans="1:12" ht="31.5" x14ac:dyDescent="0.25">
      <c r="A38" s="129" t="s">
        <v>1006</v>
      </c>
      <c r="B38" s="129" t="s">
        <v>166</v>
      </c>
      <c r="C38" s="4">
        <f>SUM(C26+C33+C37+C24)</f>
        <v>18128487</v>
      </c>
      <c r="D38" s="4">
        <f t="shared" ref="D38:K38" si="40">SUM(D26+D33+D37+D24)</f>
        <v>1288809</v>
      </c>
      <c r="E38" s="4">
        <f t="shared" si="40"/>
        <v>19417296</v>
      </c>
      <c r="F38" s="4">
        <f t="shared" si="40"/>
        <v>1207</v>
      </c>
      <c r="G38" s="4">
        <f t="shared" si="40"/>
        <v>0</v>
      </c>
      <c r="H38" s="4">
        <f t="shared" si="40"/>
        <v>1207</v>
      </c>
      <c r="I38" s="4">
        <f t="shared" si="40"/>
        <v>18129694</v>
      </c>
      <c r="J38" s="4">
        <f t="shared" si="40"/>
        <v>1288809</v>
      </c>
      <c r="K38" s="4">
        <f t="shared" si="40"/>
        <v>19418503</v>
      </c>
    </row>
    <row r="39" spans="1:12" x14ac:dyDescent="0.25">
      <c r="A39" s="129" t="s">
        <v>1007</v>
      </c>
      <c r="B39" s="129" t="s">
        <v>167</v>
      </c>
      <c r="C39" s="4">
        <v>1624904</v>
      </c>
      <c r="D39" s="4">
        <f>114996+2</f>
        <v>114998</v>
      </c>
      <c r="E39" s="4">
        <f>SUM(C39:D39)</f>
        <v>1739902</v>
      </c>
      <c r="F39" s="4">
        <v>1193445</v>
      </c>
      <c r="G39" s="4">
        <v>86530</v>
      </c>
      <c r="H39" s="4">
        <f>SUM(F39:G39)</f>
        <v>1279975</v>
      </c>
      <c r="I39" s="4">
        <f t="shared" ref="I39:K40" si="41">SUM(C39+F39)</f>
        <v>2818349</v>
      </c>
      <c r="J39" s="4">
        <f t="shared" si="41"/>
        <v>201528</v>
      </c>
      <c r="K39" s="4">
        <f t="shared" si="41"/>
        <v>3019877</v>
      </c>
      <c r="L39" s="13">
        <f>1+1</f>
        <v>2</v>
      </c>
    </row>
    <row r="40" spans="1:12" x14ac:dyDescent="0.25">
      <c r="A40" s="12" t="s">
        <v>210</v>
      </c>
      <c r="B40" s="12" t="s">
        <v>202</v>
      </c>
      <c r="C40" s="5">
        <v>790892</v>
      </c>
      <c r="D40" s="5">
        <v>3055</v>
      </c>
      <c r="E40" s="5">
        <f>SUM(C40:D40)</f>
        <v>793947</v>
      </c>
      <c r="F40" s="515">
        <v>0</v>
      </c>
      <c r="G40" s="96"/>
      <c r="H40" s="96">
        <f>SUM(F40:G40)</f>
        <v>0</v>
      </c>
      <c r="I40" s="6">
        <f t="shared" si="41"/>
        <v>790892</v>
      </c>
      <c r="J40" s="6">
        <f t="shared" si="41"/>
        <v>3055</v>
      </c>
      <c r="K40" s="6">
        <f t="shared" si="41"/>
        <v>793947</v>
      </c>
    </row>
    <row r="41" spans="1:12" x14ac:dyDescent="0.25">
      <c r="A41" s="12" t="s">
        <v>924</v>
      </c>
      <c r="B41" s="12" t="s">
        <v>202</v>
      </c>
      <c r="C41" s="5">
        <v>629335</v>
      </c>
      <c r="D41" s="5">
        <v>0</v>
      </c>
      <c r="E41" s="5">
        <f>SUM(C41:D41)</f>
        <v>629335</v>
      </c>
      <c r="F41" s="516">
        <v>0</v>
      </c>
      <c r="G41" s="96">
        <v>0</v>
      </c>
      <c r="H41" s="96">
        <f>SUM(F41:G41)</f>
        <v>0</v>
      </c>
      <c r="I41" s="6">
        <f t="shared" ref="I41" si="42">SUM(C41+F41)</f>
        <v>629335</v>
      </c>
      <c r="J41" s="6">
        <f t="shared" ref="J41" si="43">SUM(D41+G41)</f>
        <v>0</v>
      </c>
      <c r="K41" s="6">
        <f t="shared" ref="K41" si="44">SUM(E41+H41)</f>
        <v>629335</v>
      </c>
    </row>
    <row r="42" spans="1:12" ht="31.5" x14ac:dyDescent="0.25">
      <c r="A42" s="384" t="s">
        <v>211</v>
      </c>
      <c r="B42" s="12" t="s">
        <v>212</v>
      </c>
      <c r="C42" s="2">
        <v>157298</v>
      </c>
      <c r="D42" s="2">
        <v>17142</v>
      </c>
      <c r="E42" s="5">
        <f t="shared" ref="E42:E46" si="45">SUM(C42:D42)</f>
        <v>174440</v>
      </c>
      <c r="F42" s="2">
        <v>380302</v>
      </c>
      <c r="G42" s="1">
        <v>23255</v>
      </c>
      <c r="H42" s="96">
        <f t="shared" ref="H42:H46" si="46">SUM(F42:G42)</f>
        <v>403557</v>
      </c>
      <c r="I42" s="6">
        <f t="shared" ref="I42:I46" si="47">SUM(C42+F42)</f>
        <v>537600</v>
      </c>
      <c r="J42" s="6">
        <f t="shared" ref="J42:J46" si="48">SUM(D42+G42)</f>
        <v>40397</v>
      </c>
      <c r="K42" s="6">
        <f t="shared" ref="K42:K46" si="49">SUM(E42+H42)</f>
        <v>577997</v>
      </c>
    </row>
    <row r="43" spans="1:12" x14ac:dyDescent="0.25">
      <c r="A43" s="384" t="s">
        <v>213</v>
      </c>
      <c r="B43" s="12" t="s">
        <v>203</v>
      </c>
      <c r="C43" s="2">
        <v>1176</v>
      </c>
      <c r="D43" s="2">
        <v>510</v>
      </c>
      <c r="E43" s="5">
        <f t="shared" si="45"/>
        <v>1686</v>
      </c>
      <c r="F43" s="2">
        <v>9</v>
      </c>
      <c r="G43" s="1">
        <v>37</v>
      </c>
      <c r="H43" s="96">
        <f t="shared" si="46"/>
        <v>46</v>
      </c>
      <c r="I43" s="6">
        <f t="shared" si="47"/>
        <v>1185</v>
      </c>
      <c r="J43" s="6">
        <f t="shared" si="48"/>
        <v>547</v>
      </c>
      <c r="K43" s="6">
        <f t="shared" si="49"/>
        <v>1732</v>
      </c>
    </row>
    <row r="44" spans="1:12" ht="30.75" customHeight="1" x14ac:dyDescent="0.25">
      <c r="A44" s="134" t="s">
        <v>1008</v>
      </c>
      <c r="B44" s="134" t="s">
        <v>204</v>
      </c>
      <c r="C44" s="385">
        <v>121185</v>
      </c>
      <c r="D44" s="385">
        <v>-64953</v>
      </c>
      <c r="E44" s="5">
        <f t="shared" ref="E44:E45" si="50">SUM(C44:D44)</f>
        <v>56232</v>
      </c>
      <c r="F44" s="385">
        <v>0</v>
      </c>
      <c r="G44" s="385"/>
      <c r="H44" s="96">
        <f t="shared" ref="H44:H45" si="51">SUM(F44:G44)</f>
        <v>0</v>
      </c>
      <c r="I44" s="6">
        <f t="shared" ref="I44:I45" si="52">SUM(C44+F44)</f>
        <v>121185</v>
      </c>
      <c r="J44" s="6">
        <f t="shared" ref="J44:J45" si="53">SUM(D44+G44)</f>
        <v>-64953</v>
      </c>
      <c r="K44" s="6">
        <f t="shared" ref="K44:K45" si="54">SUM(E44+H44)</f>
        <v>56232</v>
      </c>
    </row>
    <row r="45" spans="1:12" ht="30.75" customHeight="1" x14ac:dyDescent="0.25">
      <c r="A45" s="134" t="s">
        <v>1027</v>
      </c>
      <c r="B45" s="134" t="s">
        <v>204</v>
      </c>
      <c r="C45" s="385">
        <v>0</v>
      </c>
      <c r="D45" s="385">
        <v>0</v>
      </c>
      <c r="E45" s="5">
        <f t="shared" si="50"/>
        <v>0</v>
      </c>
      <c r="F45" s="385">
        <v>4725</v>
      </c>
      <c r="G45" s="385">
        <v>388</v>
      </c>
      <c r="H45" s="96">
        <f t="shared" si="51"/>
        <v>5113</v>
      </c>
      <c r="I45" s="6">
        <f t="shared" si="52"/>
        <v>4725</v>
      </c>
      <c r="J45" s="6">
        <f t="shared" si="53"/>
        <v>388</v>
      </c>
      <c r="K45" s="6">
        <f t="shared" si="54"/>
        <v>5113</v>
      </c>
    </row>
    <row r="46" spans="1:12" ht="30.75" customHeight="1" x14ac:dyDescent="0.25">
      <c r="A46" s="134" t="s">
        <v>1206</v>
      </c>
      <c r="B46" s="134" t="s">
        <v>1205</v>
      </c>
      <c r="C46" s="385">
        <v>0</v>
      </c>
      <c r="D46" s="385">
        <v>8</v>
      </c>
      <c r="E46" s="5">
        <f t="shared" si="45"/>
        <v>8</v>
      </c>
      <c r="F46" s="385"/>
      <c r="G46" s="385">
        <v>0</v>
      </c>
      <c r="H46" s="96">
        <f t="shared" si="46"/>
        <v>0</v>
      </c>
      <c r="I46" s="6">
        <f t="shared" si="47"/>
        <v>0</v>
      </c>
      <c r="J46" s="6">
        <f t="shared" si="48"/>
        <v>8</v>
      </c>
      <c r="K46" s="6">
        <f t="shared" si="49"/>
        <v>8</v>
      </c>
    </row>
    <row r="47" spans="1:12" ht="31.5" x14ac:dyDescent="0.25">
      <c r="A47" s="135" t="s">
        <v>1213</v>
      </c>
      <c r="B47" s="135" t="s">
        <v>168</v>
      </c>
      <c r="C47" s="3">
        <f>SUM(C44:C46)</f>
        <v>121185</v>
      </c>
      <c r="D47" s="3">
        <f t="shared" ref="D47:K47" si="55">SUM(D44:D46)</f>
        <v>-64945</v>
      </c>
      <c r="E47" s="3">
        <f t="shared" si="55"/>
        <v>56240</v>
      </c>
      <c r="F47" s="3">
        <f t="shared" si="55"/>
        <v>4725</v>
      </c>
      <c r="G47" s="3">
        <f t="shared" si="55"/>
        <v>388</v>
      </c>
      <c r="H47" s="3">
        <f t="shared" si="55"/>
        <v>5113</v>
      </c>
      <c r="I47" s="3">
        <f t="shared" si="55"/>
        <v>125910</v>
      </c>
      <c r="J47" s="3">
        <f t="shared" si="55"/>
        <v>-64557</v>
      </c>
      <c r="K47" s="3">
        <f t="shared" si="55"/>
        <v>61353</v>
      </c>
    </row>
    <row r="48" spans="1:12" x14ac:dyDescent="0.25">
      <c r="A48" s="136" t="s">
        <v>1009</v>
      </c>
      <c r="B48" s="136" t="s">
        <v>169</v>
      </c>
      <c r="C48" s="14">
        <v>202987</v>
      </c>
      <c r="D48" s="14">
        <v>4384</v>
      </c>
      <c r="E48" s="14">
        <f>SUM(C48:D48)</f>
        <v>207371</v>
      </c>
      <c r="F48" s="14">
        <v>5470</v>
      </c>
      <c r="G48" s="14">
        <v>154</v>
      </c>
      <c r="H48" s="14">
        <f>SUM(F48:G48)</f>
        <v>5624</v>
      </c>
      <c r="I48" s="3">
        <f>SUM(C48+F48)</f>
        <v>208457</v>
      </c>
      <c r="J48" s="3">
        <f t="shared" ref="J48:K49" si="56">SUM(D48+G48)</f>
        <v>4538</v>
      </c>
      <c r="K48" s="3">
        <f t="shared" si="56"/>
        <v>212995</v>
      </c>
    </row>
    <row r="49" spans="1:13" ht="16.5" thickBot="1" x14ac:dyDescent="0.3">
      <c r="A49" s="132" t="s">
        <v>1010</v>
      </c>
      <c r="B49" s="132" t="s">
        <v>170</v>
      </c>
      <c r="C49" s="52">
        <v>88726</v>
      </c>
      <c r="D49" s="52">
        <v>-19845</v>
      </c>
      <c r="E49" s="14">
        <f>SUM(C49:D49)</f>
        <v>68881</v>
      </c>
      <c r="F49" s="52">
        <v>2067</v>
      </c>
      <c r="G49" s="52"/>
      <c r="H49" s="14">
        <f>SUM(F49:G49)</f>
        <v>2067</v>
      </c>
      <c r="I49" s="19">
        <f>SUM(C49+F49)</f>
        <v>90793</v>
      </c>
      <c r="J49" s="19">
        <f t="shared" si="56"/>
        <v>-19845</v>
      </c>
      <c r="K49" s="19">
        <f t="shared" si="56"/>
        <v>70948</v>
      </c>
    </row>
    <row r="50" spans="1:13" ht="33" thickTop="1" thickBot="1" x14ac:dyDescent="0.3">
      <c r="A50" s="137" t="s">
        <v>1011</v>
      </c>
      <c r="B50" s="137"/>
      <c r="C50" s="21">
        <f t="shared" ref="C50:K50" si="57">SUM(C48+C39+C38+C20)</f>
        <v>27318956</v>
      </c>
      <c r="D50" s="21">
        <f>SUM(D48+D39+D38+D20)</f>
        <v>2362980</v>
      </c>
      <c r="E50" s="21">
        <f t="shared" si="57"/>
        <v>29681936</v>
      </c>
      <c r="F50" s="21">
        <f t="shared" si="57"/>
        <v>2740757</v>
      </c>
      <c r="G50" s="21">
        <f t="shared" si="57"/>
        <v>208532</v>
      </c>
      <c r="H50" s="21">
        <f t="shared" si="57"/>
        <v>2949289</v>
      </c>
      <c r="I50" s="21">
        <f t="shared" si="57"/>
        <v>30059713</v>
      </c>
      <c r="J50" s="21">
        <f t="shared" si="57"/>
        <v>2571512</v>
      </c>
      <c r="K50" s="21">
        <f t="shared" si="57"/>
        <v>32631225</v>
      </c>
    </row>
    <row r="51" spans="1:13" ht="33" thickTop="1" thickBot="1" x14ac:dyDescent="0.3">
      <c r="A51" s="137" t="s">
        <v>1012</v>
      </c>
      <c r="B51" s="137"/>
      <c r="C51" s="21">
        <f t="shared" ref="C51:K51" si="58">SUM(C23+C49+C47)</f>
        <v>10688502</v>
      </c>
      <c r="D51" s="21">
        <f t="shared" si="58"/>
        <v>-957396</v>
      </c>
      <c r="E51" s="21">
        <f t="shared" si="58"/>
        <v>9731106</v>
      </c>
      <c r="F51" s="21">
        <f t="shared" si="58"/>
        <v>9658</v>
      </c>
      <c r="G51" s="21">
        <f t="shared" si="58"/>
        <v>19758</v>
      </c>
      <c r="H51" s="21">
        <f t="shared" si="58"/>
        <v>29416</v>
      </c>
      <c r="I51" s="21">
        <f t="shared" si="58"/>
        <v>10698160</v>
      </c>
      <c r="J51" s="21">
        <f t="shared" si="58"/>
        <v>-937638</v>
      </c>
      <c r="K51" s="21">
        <f t="shared" si="58"/>
        <v>9760522</v>
      </c>
    </row>
    <row r="52" spans="1:13" ht="33" thickTop="1" thickBot="1" x14ac:dyDescent="0.3">
      <c r="A52" s="137" t="s">
        <v>1013</v>
      </c>
      <c r="B52" s="137" t="s">
        <v>272</v>
      </c>
      <c r="C52" s="16">
        <f>SUM(C50+C51)</f>
        <v>38007458</v>
      </c>
      <c r="D52" s="16">
        <f t="shared" ref="D52:H52" si="59">SUM(D50+D51)</f>
        <v>1405584</v>
      </c>
      <c r="E52" s="16">
        <f t="shared" si="59"/>
        <v>39413042</v>
      </c>
      <c r="F52" s="16">
        <f t="shared" si="59"/>
        <v>2750415</v>
      </c>
      <c r="G52" s="16">
        <f t="shared" si="59"/>
        <v>228290</v>
      </c>
      <c r="H52" s="16">
        <f t="shared" si="59"/>
        <v>2978705</v>
      </c>
      <c r="I52" s="16">
        <f>SUM(I50+I51)</f>
        <v>40757873</v>
      </c>
      <c r="J52" s="16">
        <f t="shared" ref="J52:K52" si="60">SUM(J50+J51)</f>
        <v>1633874</v>
      </c>
      <c r="K52" s="16">
        <f t="shared" si="60"/>
        <v>42391747</v>
      </c>
      <c r="L52" s="13">
        <v>615059</v>
      </c>
      <c r="M52" s="393">
        <f>+L52+K52</f>
        <v>43006806</v>
      </c>
    </row>
    <row r="53" spans="1:13" ht="15.75" customHeight="1" thickTop="1" thickBot="1" x14ac:dyDescent="0.3">
      <c r="A53" s="209"/>
      <c r="B53" s="210"/>
      <c r="C53" s="23"/>
      <c r="D53" s="23"/>
      <c r="E53" s="23"/>
      <c r="F53" s="23"/>
      <c r="G53" s="23"/>
      <c r="H53" s="23"/>
      <c r="I53" s="24"/>
      <c r="J53" s="24"/>
      <c r="K53" s="24"/>
    </row>
    <row r="54" spans="1:13" ht="32.25" thickTop="1" x14ac:dyDescent="0.25">
      <c r="A54" s="139" t="s">
        <v>308</v>
      </c>
      <c r="B54" s="139"/>
      <c r="C54" s="82">
        <f>SUM(C55-C56)</f>
        <v>-15765041</v>
      </c>
      <c r="D54" s="211">
        <f t="shared" ref="D54:H54" si="61">SUM(D55-D56)</f>
        <v>-106452</v>
      </c>
      <c r="E54" s="82">
        <f t="shared" si="61"/>
        <v>-15871493</v>
      </c>
      <c r="F54" s="517">
        <f t="shared" si="61"/>
        <v>-12337249</v>
      </c>
      <c r="G54" s="211">
        <f t="shared" si="61"/>
        <v>-27701</v>
      </c>
      <c r="H54" s="85">
        <f t="shared" si="61"/>
        <v>-12364950</v>
      </c>
      <c r="I54" s="518">
        <f>SUM(I55-I56)</f>
        <v>-28102290</v>
      </c>
      <c r="J54" s="85">
        <f t="shared" ref="J54:K54" si="62">SUM(J55-J56)</f>
        <v>-134153</v>
      </c>
      <c r="K54" s="85">
        <f t="shared" si="62"/>
        <v>-28236443</v>
      </c>
    </row>
    <row r="55" spans="1:13" s="128" customFormat="1" x14ac:dyDescent="0.25">
      <c r="A55" s="147" t="s">
        <v>215</v>
      </c>
      <c r="B55" s="147" t="s">
        <v>272</v>
      </c>
      <c r="C55" s="83">
        <f>SUM(C52)</f>
        <v>38007458</v>
      </c>
      <c r="D55" s="212">
        <f t="shared" ref="D55:H55" si="63">SUM(D52)</f>
        <v>1405584</v>
      </c>
      <c r="E55" s="86">
        <f t="shared" si="63"/>
        <v>39413042</v>
      </c>
      <c r="F55" s="83">
        <f t="shared" si="63"/>
        <v>2750415</v>
      </c>
      <c r="G55" s="212">
        <f t="shared" si="63"/>
        <v>228290</v>
      </c>
      <c r="H55" s="86">
        <f t="shared" si="63"/>
        <v>2978705</v>
      </c>
      <c r="I55" s="519">
        <f>SUM(I52)</f>
        <v>40757873</v>
      </c>
      <c r="J55" s="86">
        <f t="shared" ref="J55:K55" si="64">SUM(J52)</f>
        <v>1633874</v>
      </c>
      <c r="K55" s="86">
        <f t="shared" si="64"/>
        <v>42391747</v>
      </c>
    </row>
    <row r="56" spans="1:13" s="128" customFormat="1" x14ac:dyDescent="0.25">
      <c r="A56" s="147" t="s">
        <v>216</v>
      </c>
      <c r="B56" s="147" t="s">
        <v>268</v>
      </c>
      <c r="C56" s="525">
        <f>'4 kiadás(szűkített)'!C22</f>
        <v>53772499</v>
      </c>
      <c r="D56" s="520">
        <f>'4 kiadás(szűkített)'!D22</f>
        <v>1512036</v>
      </c>
      <c r="E56" s="87">
        <f>'4 kiadás(szűkített)'!E22</f>
        <v>55284535</v>
      </c>
      <c r="F56" s="542">
        <f>'4 kiadás(szűkített)'!F22</f>
        <v>15087664</v>
      </c>
      <c r="G56" s="520">
        <f>'4 kiadás(szűkített)'!G22</f>
        <v>255991</v>
      </c>
      <c r="H56" s="87">
        <f>'4 kiadás(szűkített)'!H22</f>
        <v>15343655</v>
      </c>
      <c r="I56" s="521">
        <f>SUM(C56+F56)</f>
        <v>68860163</v>
      </c>
      <c r="J56" s="87">
        <f>SUM(D56+G56)</f>
        <v>1768027</v>
      </c>
      <c r="K56" s="87">
        <f>SUM(E56+H56)</f>
        <v>70628190</v>
      </c>
    </row>
    <row r="57" spans="1:13" s="128" customFormat="1" x14ac:dyDescent="0.25">
      <c r="A57" s="147"/>
      <c r="B57" s="147"/>
      <c r="C57" s="520"/>
      <c r="D57" s="84"/>
      <c r="E57" s="87"/>
      <c r="F57" s="520"/>
      <c r="G57" s="213"/>
      <c r="H57" s="87"/>
      <c r="I57" s="521"/>
      <c r="J57" s="87"/>
      <c r="K57" s="87"/>
    </row>
    <row r="58" spans="1:13" x14ac:dyDescent="0.25">
      <c r="A58" s="149" t="s">
        <v>455</v>
      </c>
      <c r="B58" s="149"/>
      <c r="C58" s="56">
        <f>SUM(C64-C65)</f>
        <v>15765041</v>
      </c>
      <c r="D58" s="93">
        <f t="shared" ref="D58:K58" si="65">SUM(D64-D65)</f>
        <v>106452</v>
      </c>
      <c r="E58" s="88">
        <f t="shared" si="65"/>
        <v>15871493</v>
      </c>
      <c r="F58" s="93">
        <f t="shared" si="65"/>
        <v>12337249</v>
      </c>
      <c r="G58" s="214">
        <f t="shared" si="65"/>
        <v>27701</v>
      </c>
      <c r="H58" s="95">
        <f t="shared" si="65"/>
        <v>12364950</v>
      </c>
      <c r="I58" s="88">
        <f t="shared" si="65"/>
        <v>28102290</v>
      </c>
      <c r="J58" s="88">
        <f t="shared" si="65"/>
        <v>134153</v>
      </c>
      <c r="K58" s="88">
        <f t="shared" si="65"/>
        <v>28236443</v>
      </c>
    </row>
    <row r="59" spans="1:13" ht="31.5" x14ac:dyDescent="0.25">
      <c r="A59" s="27" t="s">
        <v>179</v>
      </c>
      <c r="B59" s="27"/>
      <c r="C59" s="55">
        <v>10804185</v>
      </c>
      <c r="D59" s="25">
        <v>-124042</v>
      </c>
      <c r="E59" s="70">
        <f>SUM(C59:D59)</f>
        <v>10680143</v>
      </c>
      <c r="F59" s="94">
        <v>818486</v>
      </c>
      <c r="G59" s="215">
        <v>-7653</v>
      </c>
      <c r="H59" s="70">
        <f>SUM(F59:G59)</f>
        <v>810833</v>
      </c>
      <c r="I59" s="71">
        <f>SUM(C59)+F59</f>
        <v>11622671</v>
      </c>
      <c r="J59" s="70">
        <f t="shared" ref="J59:K62" si="66">SUM(D59+G59)</f>
        <v>-131695</v>
      </c>
      <c r="K59" s="70">
        <f t="shared" si="66"/>
        <v>11490976</v>
      </c>
      <c r="M59" s="393"/>
    </row>
    <row r="60" spans="1:13" ht="31.5" x14ac:dyDescent="0.25">
      <c r="A60" s="27" t="s">
        <v>171</v>
      </c>
      <c r="B60" s="27"/>
      <c r="C60" s="55">
        <v>16613611</v>
      </c>
      <c r="D60" s="25"/>
      <c r="E60" s="70">
        <f>SUM(C60:D60)</f>
        <v>16613611</v>
      </c>
      <c r="F60" s="94">
        <v>29974</v>
      </c>
      <c r="G60" s="215"/>
      <c r="H60" s="70">
        <f>SUM(F60:G60)</f>
        <v>29974</v>
      </c>
      <c r="I60" s="71">
        <f>SUM(C60)+F60</f>
        <v>16643585</v>
      </c>
      <c r="J60" s="70">
        <f t="shared" si="66"/>
        <v>0</v>
      </c>
      <c r="K60" s="70">
        <f t="shared" si="66"/>
        <v>16643585</v>
      </c>
    </row>
    <row r="61" spans="1:13" x14ac:dyDescent="0.25">
      <c r="A61" s="27" t="s">
        <v>172</v>
      </c>
      <c r="B61" s="27" t="s">
        <v>214</v>
      </c>
      <c r="C61" s="55">
        <f t="shared" ref="C61:H61" si="67">SUM(C59:C60)</f>
        <v>27417796</v>
      </c>
      <c r="D61" s="25">
        <f t="shared" si="67"/>
        <v>-124042</v>
      </c>
      <c r="E61" s="70">
        <f t="shared" si="67"/>
        <v>27293754</v>
      </c>
      <c r="F61" s="94">
        <f t="shared" si="67"/>
        <v>848460</v>
      </c>
      <c r="G61" s="215">
        <f t="shared" si="67"/>
        <v>-7653</v>
      </c>
      <c r="H61" s="70">
        <f t="shared" si="67"/>
        <v>840807</v>
      </c>
      <c r="I61" s="71">
        <f>SUM(C61+F61)</f>
        <v>28266256</v>
      </c>
      <c r="J61" s="70">
        <f t="shared" si="66"/>
        <v>-131695</v>
      </c>
      <c r="K61" s="70">
        <f t="shared" si="66"/>
        <v>28134561</v>
      </c>
      <c r="M61" s="393"/>
    </row>
    <row r="62" spans="1:13" ht="33" customHeight="1" x14ac:dyDescent="0.25">
      <c r="A62" s="152" t="s">
        <v>1200</v>
      </c>
      <c r="B62" s="152" t="s">
        <v>1201</v>
      </c>
      <c r="C62" s="522"/>
      <c r="D62" s="216">
        <v>265848</v>
      </c>
      <c r="E62" s="70">
        <f>SUM(C62:D62)</f>
        <v>265848</v>
      </c>
      <c r="F62" s="523"/>
      <c r="G62" s="217"/>
      <c r="H62" s="89">
        <f>SUM(F62:G62)</f>
        <v>0</v>
      </c>
      <c r="I62" s="524">
        <f t="shared" ref="I62" si="68">SUM(C62+F62)</f>
        <v>0</v>
      </c>
      <c r="J62" s="89">
        <f t="shared" si="66"/>
        <v>265848</v>
      </c>
      <c r="K62" s="89">
        <f t="shared" si="66"/>
        <v>265848</v>
      </c>
    </row>
    <row r="63" spans="1:13" x14ac:dyDescent="0.25">
      <c r="A63" s="152" t="s">
        <v>309</v>
      </c>
      <c r="B63" s="152" t="s">
        <v>310</v>
      </c>
      <c r="C63" s="522"/>
      <c r="D63" s="216"/>
      <c r="E63" s="89"/>
      <c r="F63" s="523">
        <v>11488789</v>
      </c>
      <c r="G63" s="217">
        <v>35354</v>
      </c>
      <c r="H63" s="89">
        <f>SUM(F63:G63)</f>
        <v>11524143</v>
      </c>
      <c r="I63" s="524">
        <f t="shared" ref="I63:K63" si="69">SUM(C63+F63)</f>
        <v>11488789</v>
      </c>
      <c r="J63" s="89">
        <f t="shared" si="69"/>
        <v>35354</v>
      </c>
      <c r="K63" s="89">
        <f t="shared" si="69"/>
        <v>11524143</v>
      </c>
    </row>
    <row r="64" spans="1:13" s="128" customFormat="1" ht="31.5" x14ac:dyDescent="0.25">
      <c r="A64" s="153" t="s">
        <v>1202</v>
      </c>
      <c r="B64" s="153" t="s">
        <v>173</v>
      </c>
      <c r="C64" s="83">
        <f>SUM(C61+C62+C63)</f>
        <v>27417796</v>
      </c>
      <c r="D64" s="212">
        <f t="shared" ref="D64:K64" si="70">SUM(D61+D62+D63)</f>
        <v>141806</v>
      </c>
      <c r="E64" s="86">
        <f t="shared" si="70"/>
        <v>27559602</v>
      </c>
      <c r="F64" s="544">
        <f t="shared" si="70"/>
        <v>12337249</v>
      </c>
      <c r="G64" s="588">
        <f t="shared" si="70"/>
        <v>27701</v>
      </c>
      <c r="H64" s="86">
        <f t="shared" si="70"/>
        <v>12364950</v>
      </c>
      <c r="I64" s="519">
        <f t="shared" si="70"/>
        <v>39755045</v>
      </c>
      <c r="J64" s="86">
        <f t="shared" si="70"/>
        <v>169507</v>
      </c>
      <c r="K64" s="86">
        <f t="shared" si="70"/>
        <v>39924552</v>
      </c>
    </row>
    <row r="65" spans="1:11" s="128" customFormat="1" x14ac:dyDescent="0.25">
      <c r="A65" s="153" t="s">
        <v>792</v>
      </c>
      <c r="B65" s="153" t="s">
        <v>209</v>
      </c>
      <c r="C65" s="525">
        <f>'4 kiadás(szűkített)'!C25</f>
        <v>11652755</v>
      </c>
      <c r="D65" s="544">
        <f>'4 kiadás(szűkített)'!D25</f>
        <v>35354</v>
      </c>
      <c r="E65" s="86">
        <f>'4 kiadás(szűkített)'!E25</f>
        <v>11688109</v>
      </c>
      <c r="F65" s="83">
        <f>'4 kiadás(szűkített)'!F25</f>
        <v>0</v>
      </c>
      <c r="G65" s="212">
        <f>'4 kiadás(szűkített)'!G25</f>
        <v>0</v>
      </c>
      <c r="H65" s="86">
        <f>'4 kiadás(szűkített)'!H25</f>
        <v>0</v>
      </c>
      <c r="I65" s="519">
        <f>SUM(C65+F65)</f>
        <v>11652755</v>
      </c>
      <c r="J65" s="86">
        <f>SUM(D65+G65)</f>
        <v>35354</v>
      </c>
      <c r="K65" s="86">
        <f t="shared" ref="K65" si="71">SUM(E65:H65)</f>
        <v>11688109</v>
      </c>
    </row>
    <row r="66" spans="1:11" s="162" customFormat="1" ht="16.5" thickBot="1" x14ac:dyDescent="0.3">
      <c r="A66" s="154" t="s">
        <v>456</v>
      </c>
      <c r="B66" s="154"/>
      <c r="C66" s="160">
        <f>SUM(C54+C58)</f>
        <v>0</v>
      </c>
      <c r="D66" s="156">
        <f t="shared" ref="D66:K66" si="72">SUM(D54+D58)</f>
        <v>0</v>
      </c>
      <c r="E66" s="158">
        <f t="shared" si="72"/>
        <v>0</v>
      </c>
      <c r="F66" s="160">
        <f t="shared" si="72"/>
        <v>0</v>
      </c>
      <c r="G66" s="156">
        <f t="shared" si="72"/>
        <v>0</v>
      </c>
      <c r="H66" s="158">
        <f t="shared" si="72"/>
        <v>0</v>
      </c>
      <c r="I66" s="160">
        <f t="shared" si="72"/>
        <v>0</v>
      </c>
      <c r="J66" s="160">
        <f t="shared" si="72"/>
        <v>0</v>
      </c>
      <c r="K66" s="154">
        <f t="shared" si="72"/>
        <v>0</v>
      </c>
    </row>
    <row r="67" spans="1:11" s="162" customFormat="1" ht="16.5" thickTop="1" x14ac:dyDescent="0.25"/>
    <row r="68" spans="1:11" s="162" customFormat="1" x14ac:dyDescent="0.25"/>
    <row r="69" spans="1:11" s="162" customFormat="1" x14ac:dyDescent="0.25"/>
    <row r="70" spans="1:11" s="162" customFormat="1" x14ac:dyDescent="0.25">
      <c r="A70" s="164"/>
      <c r="B70" s="164"/>
    </row>
    <row r="71" spans="1:11" s="165" customFormat="1" x14ac:dyDescent="0.25">
      <c r="A71" s="24"/>
      <c r="B71" s="24"/>
      <c r="C71" s="162"/>
      <c r="D71" s="162"/>
      <c r="E71" s="162"/>
      <c r="F71" s="162"/>
      <c r="G71" s="162"/>
      <c r="H71" s="162"/>
      <c r="I71" s="162"/>
      <c r="J71" s="162"/>
      <c r="K71" s="162"/>
    </row>
    <row r="72" spans="1:11" s="165" customFormat="1" x14ac:dyDescent="0.25">
      <c r="A72" s="166"/>
      <c r="B72" s="166"/>
      <c r="C72" s="162"/>
      <c r="D72" s="162"/>
      <c r="E72" s="162"/>
      <c r="F72" s="162"/>
      <c r="G72" s="162"/>
      <c r="H72" s="162"/>
      <c r="I72" s="162"/>
      <c r="J72" s="162"/>
      <c r="K72" s="162"/>
    </row>
    <row r="73" spans="1:11" s="165" customFormat="1" x14ac:dyDescent="0.25">
      <c r="A73" s="167"/>
      <c r="B73" s="167"/>
    </row>
    <row r="74" spans="1:11" s="165" customFormat="1" x14ac:dyDescent="0.25">
      <c r="A74" s="168"/>
      <c r="B74" s="168"/>
    </row>
    <row r="75" spans="1:11" s="165" customFormat="1" x14ac:dyDescent="0.25">
      <c r="A75" s="169"/>
      <c r="B75" s="169"/>
    </row>
    <row r="76" spans="1:11" s="165" customFormat="1" x14ac:dyDescent="0.25">
      <c r="A76" s="167"/>
      <c r="B76" s="167"/>
    </row>
    <row r="77" spans="1:11" s="165" customFormat="1" x14ac:dyDescent="0.25">
      <c r="A77" s="168"/>
      <c r="B77" s="168"/>
    </row>
    <row r="78" spans="1:11" s="165" customFormat="1" x14ac:dyDescent="0.25">
      <c r="A78" s="168"/>
      <c r="B78" s="168"/>
    </row>
    <row r="79" spans="1:11" s="165" customFormat="1" x14ac:dyDescent="0.25">
      <c r="A79" s="167"/>
      <c r="B79" s="167"/>
    </row>
    <row r="80" spans="1:11" s="165" customFormat="1" x14ac:dyDescent="0.25">
      <c r="A80" s="168"/>
      <c r="B80" s="168"/>
    </row>
    <row r="81" spans="1:11" s="165" customFormat="1" x14ac:dyDescent="0.25">
      <c r="A81" s="168"/>
      <c r="B81" s="168"/>
    </row>
    <row r="82" spans="1:11" s="165" customFormat="1" x14ac:dyDescent="0.25">
      <c r="A82" s="168"/>
      <c r="B82" s="168"/>
    </row>
    <row r="83" spans="1:11" s="165" customFormat="1" x14ac:dyDescent="0.25">
      <c r="A83" s="168"/>
      <c r="B83" s="168"/>
    </row>
    <row r="84" spans="1:11" s="165" customFormat="1" x14ac:dyDescent="0.25">
      <c r="A84" s="167"/>
      <c r="B84" s="167"/>
    </row>
    <row r="85" spans="1:11" s="165" customFormat="1" x14ac:dyDescent="0.25">
      <c r="A85" s="168"/>
      <c r="B85" s="168"/>
    </row>
    <row r="86" spans="1:11" s="165" customFormat="1" x14ac:dyDescent="0.25">
      <c r="A86" s="168"/>
      <c r="B86" s="168"/>
    </row>
    <row r="87" spans="1:11" s="165" customFormat="1" x14ac:dyDescent="0.25">
      <c r="A87" s="168"/>
      <c r="B87" s="168"/>
    </row>
    <row r="88" spans="1:11" s="165" customFormat="1" x14ac:dyDescent="0.25">
      <c r="A88" s="168"/>
      <c r="B88" s="168"/>
    </row>
    <row r="89" spans="1:11" s="165" customFormat="1" x14ac:dyDescent="0.25">
      <c r="A89" s="168"/>
      <c r="B89" s="168"/>
    </row>
    <row r="90" spans="1:11" x14ac:dyDescent="0.25">
      <c r="A90" s="168"/>
      <c r="B90" s="168"/>
      <c r="C90" s="165"/>
      <c r="D90" s="165"/>
      <c r="E90" s="165"/>
      <c r="F90" s="165"/>
      <c r="G90" s="165"/>
      <c r="H90" s="165"/>
      <c r="I90" s="165"/>
      <c r="J90" s="165"/>
      <c r="K90" s="165"/>
    </row>
    <row r="91" spans="1:11" x14ac:dyDescent="0.25">
      <c r="A91" s="168"/>
      <c r="B91" s="168"/>
      <c r="C91" s="165"/>
      <c r="D91" s="165"/>
      <c r="E91" s="165"/>
      <c r="F91" s="165"/>
      <c r="G91" s="165"/>
      <c r="H91" s="165"/>
      <c r="I91" s="165"/>
      <c r="J91" s="165"/>
      <c r="K91" s="165"/>
    </row>
    <row r="92" spans="1:11" x14ac:dyDescent="0.25">
      <c r="A92" s="170"/>
      <c r="B92" s="170"/>
    </row>
    <row r="93" spans="1:11" x14ac:dyDescent="0.25">
      <c r="A93" s="170"/>
      <c r="B93" s="170"/>
    </row>
    <row r="94" spans="1:11" x14ac:dyDescent="0.25">
      <c r="A94" s="170"/>
      <c r="B94" s="170"/>
    </row>
    <row r="95" spans="1:11" x14ac:dyDescent="0.25">
      <c r="A95" s="170"/>
      <c r="B95" s="170"/>
    </row>
    <row r="96" spans="1:11" x14ac:dyDescent="0.25">
      <c r="A96" s="170"/>
      <c r="B96" s="170"/>
    </row>
    <row r="97" spans="1:2" x14ac:dyDescent="0.25">
      <c r="A97" s="170"/>
      <c r="B97" s="170"/>
    </row>
    <row r="98" spans="1:2" x14ac:dyDescent="0.25">
      <c r="A98" s="170"/>
      <c r="B98" s="170"/>
    </row>
    <row r="99" spans="1:2" x14ac:dyDescent="0.25">
      <c r="A99" s="170"/>
      <c r="B99" s="170"/>
    </row>
    <row r="100" spans="1:2" x14ac:dyDescent="0.25">
      <c r="A100" s="170"/>
      <c r="B100" s="170"/>
    </row>
    <row r="101" spans="1:2" x14ac:dyDescent="0.25">
      <c r="A101" s="170"/>
      <c r="B101" s="170"/>
    </row>
    <row r="102" spans="1:2" x14ac:dyDescent="0.25">
      <c r="A102" s="170"/>
      <c r="B102" s="170"/>
    </row>
    <row r="103" spans="1:2" x14ac:dyDescent="0.25">
      <c r="A103" s="170"/>
      <c r="B103" s="170"/>
    </row>
    <row r="104" spans="1:2" x14ac:dyDescent="0.25">
      <c r="A104" s="170"/>
      <c r="B104" s="170"/>
    </row>
    <row r="105" spans="1:2" x14ac:dyDescent="0.25">
      <c r="A105" s="170"/>
      <c r="B105" s="170"/>
    </row>
    <row r="106" spans="1:2" x14ac:dyDescent="0.25">
      <c r="A106" s="170"/>
      <c r="B106" s="170"/>
    </row>
    <row r="107" spans="1:2" x14ac:dyDescent="0.25">
      <c r="A107" s="170"/>
      <c r="B107" s="170"/>
    </row>
    <row r="108" spans="1:2" x14ac:dyDescent="0.25">
      <c r="A108" s="170"/>
      <c r="B108" s="170"/>
    </row>
    <row r="109" spans="1:2" x14ac:dyDescent="0.25">
      <c r="A109" s="170"/>
      <c r="B109" s="170"/>
    </row>
    <row r="110" spans="1:2" x14ac:dyDescent="0.25">
      <c r="A110" s="170"/>
      <c r="B110" s="170"/>
    </row>
    <row r="111" spans="1:2" x14ac:dyDescent="0.25">
      <c r="A111" s="170"/>
      <c r="B111" s="170"/>
    </row>
    <row r="112" spans="1:2" x14ac:dyDescent="0.25">
      <c r="A112" s="170"/>
      <c r="B112" s="170"/>
    </row>
    <row r="113" spans="1:2" x14ac:dyDescent="0.25">
      <c r="A113" s="170"/>
      <c r="B113" s="170"/>
    </row>
    <row r="114" spans="1:2" x14ac:dyDescent="0.25">
      <c r="A114" s="170"/>
      <c r="B114" s="170"/>
    </row>
    <row r="115" spans="1:2" x14ac:dyDescent="0.25">
      <c r="A115" s="170"/>
      <c r="B115" s="170"/>
    </row>
    <row r="116" spans="1:2" x14ac:dyDescent="0.25">
      <c r="A116" s="170"/>
      <c r="B116" s="170"/>
    </row>
    <row r="117" spans="1:2" x14ac:dyDescent="0.25">
      <c r="A117" s="170"/>
      <c r="B117" s="170"/>
    </row>
    <row r="118" spans="1:2" x14ac:dyDescent="0.25">
      <c r="A118" s="170"/>
      <c r="B118" s="170"/>
    </row>
    <row r="119" spans="1:2" x14ac:dyDescent="0.25">
      <c r="A119" s="170"/>
      <c r="B119" s="170"/>
    </row>
    <row r="120" spans="1:2" x14ac:dyDescent="0.25">
      <c r="A120" s="170"/>
      <c r="B120" s="170"/>
    </row>
    <row r="121" spans="1:2" x14ac:dyDescent="0.25">
      <c r="A121" s="170"/>
      <c r="B121" s="170"/>
    </row>
    <row r="122" spans="1:2" x14ac:dyDescent="0.25">
      <c r="A122" s="170"/>
      <c r="B122" s="170"/>
    </row>
    <row r="123" spans="1:2" x14ac:dyDescent="0.25">
      <c r="A123" s="170"/>
      <c r="B123" s="170"/>
    </row>
    <row r="124" spans="1:2" x14ac:dyDescent="0.25">
      <c r="A124" s="170"/>
      <c r="B124" s="170"/>
    </row>
    <row r="125" spans="1:2" x14ac:dyDescent="0.25">
      <c r="A125" s="170"/>
      <c r="B125" s="170"/>
    </row>
    <row r="126" spans="1:2" x14ac:dyDescent="0.25">
      <c r="A126" s="170"/>
      <c r="B126" s="170"/>
    </row>
    <row r="127" spans="1:2" x14ac:dyDescent="0.25">
      <c r="A127" s="170"/>
      <c r="B127" s="170"/>
    </row>
    <row r="128" spans="1:2" x14ac:dyDescent="0.25">
      <c r="A128" s="170"/>
      <c r="B128" s="170"/>
    </row>
    <row r="129" spans="1:2" x14ac:dyDescent="0.25">
      <c r="A129" s="170"/>
      <c r="B129" s="170"/>
    </row>
    <row r="130" spans="1:2" x14ac:dyDescent="0.25">
      <c r="A130" s="170"/>
      <c r="B130" s="170"/>
    </row>
    <row r="131" spans="1:2" x14ac:dyDescent="0.25">
      <c r="A131" s="170"/>
      <c r="B131" s="170"/>
    </row>
    <row r="132" spans="1:2" x14ac:dyDescent="0.25">
      <c r="A132" s="170"/>
      <c r="B132" s="170"/>
    </row>
    <row r="133" spans="1:2" x14ac:dyDescent="0.25">
      <c r="A133" s="170"/>
      <c r="B133" s="170"/>
    </row>
    <row r="134" spans="1:2" x14ac:dyDescent="0.25">
      <c r="A134" s="170"/>
      <c r="B134" s="170"/>
    </row>
    <row r="135" spans="1:2" x14ac:dyDescent="0.25">
      <c r="A135" s="170"/>
      <c r="B135" s="170"/>
    </row>
    <row r="136" spans="1:2" x14ac:dyDescent="0.25">
      <c r="A136" s="170"/>
      <c r="B136" s="170"/>
    </row>
    <row r="137" spans="1:2" x14ac:dyDescent="0.25">
      <c r="A137" s="170"/>
      <c r="B137" s="170"/>
    </row>
    <row r="138" spans="1:2" x14ac:dyDescent="0.25">
      <c r="A138" s="170"/>
      <c r="B138" s="170"/>
    </row>
    <row r="139" spans="1:2" x14ac:dyDescent="0.25">
      <c r="A139" s="170"/>
      <c r="B139" s="170"/>
    </row>
    <row r="140" spans="1:2" x14ac:dyDescent="0.25">
      <c r="A140" s="170"/>
      <c r="B140" s="170"/>
    </row>
    <row r="141" spans="1:2" x14ac:dyDescent="0.25">
      <c r="A141" s="170"/>
      <c r="B141" s="170"/>
    </row>
    <row r="142" spans="1:2" x14ac:dyDescent="0.25">
      <c r="A142" s="170"/>
      <c r="B142" s="170"/>
    </row>
    <row r="143" spans="1:2" x14ac:dyDescent="0.25">
      <c r="A143" s="170"/>
      <c r="B143" s="170"/>
    </row>
    <row r="144" spans="1:2" x14ac:dyDescent="0.25">
      <c r="A144" s="170"/>
      <c r="B144" s="170"/>
    </row>
    <row r="145" spans="1:2" x14ac:dyDescent="0.25">
      <c r="A145" s="170"/>
      <c r="B145" s="170"/>
    </row>
    <row r="146" spans="1:2" x14ac:dyDescent="0.25">
      <c r="A146" s="170"/>
      <c r="B146" s="170"/>
    </row>
    <row r="147" spans="1:2" x14ac:dyDescent="0.25">
      <c r="A147" s="170"/>
      <c r="B147" s="170"/>
    </row>
    <row r="148" spans="1:2" x14ac:dyDescent="0.25">
      <c r="A148" s="170"/>
      <c r="B148" s="170"/>
    </row>
    <row r="149" spans="1:2" x14ac:dyDescent="0.25">
      <c r="A149" s="170"/>
      <c r="B149" s="170"/>
    </row>
    <row r="150" spans="1:2" x14ac:dyDescent="0.25">
      <c r="A150" s="170"/>
      <c r="B150" s="170"/>
    </row>
    <row r="151" spans="1:2" x14ac:dyDescent="0.25">
      <c r="A151" s="170"/>
      <c r="B151" s="170"/>
    </row>
    <row r="152" spans="1:2" x14ac:dyDescent="0.25">
      <c r="A152" s="170"/>
      <c r="B152" s="170"/>
    </row>
    <row r="153" spans="1:2" x14ac:dyDescent="0.25">
      <c r="A153" s="170"/>
      <c r="B153" s="170"/>
    </row>
    <row r="154" spans="1:2" x14ac:dyDescent="0.25">
      <c r="A154" s="170"/>
      <c r="B154" s="170"/>
    </row>
    <row r="155" spans="1:2" x14ac:dyDescent="0.25">
      <c r="A155" s="170"/>
      <c r="B155" s="170"/>
    </row>
    <row r="156" spans="1:2" x14ac:dyDescent="0.25">
      <c r="A156" s="170"/>
      <c r="B156" s="170"/>
    </row>
    <row r="157" spans="1:2" x14ac:dyDescent="0.25">
      <c r="A157" s="170"/>
      <c r="B157" s="170"/>
    </row>
    <row r="158" spans="1:2" x14ac:dyDescent="0.25">
      <c r="A158" s="170"/>
      <c r="B158" s="170"/>
    </row>
    <row r="159" spans="1:2" x14ac:dyDescent="0.25">
      <c r="A159" s="170"/>
      <c r="B159" s="170"/>
    </row>
    <row r="160" spans="1:2" x14ac:dyDescent="0.25">
      <c r="A160" s="170"/>
      <c r="B160" s="170"/>
    </row>
    <row r="161" spans="1:2" x14ac:dyDescent="0.25">
      <c r="A161" s="170"/>
      <c r="B161" s="170"/>
    </row>
    <row r="162" spans="1:2" x14ac:dyDescent="0.25">
      <c r="A162" s="170"/>
      <c r="B162" s="170"/>
    </row>
    <row r="163" spans="1:2" x14ac:dyDescent="0.25">
      <c r="A163" s="170"/>
      <c r="B163" s="170"/>
    </row>
    <row r="164" spans="1:2" x14ac:dyDescent="0.25">
      <c r="A164" s="170"/>
      <c r="B164" s="170"/>
    </row>
    <row r="165" spans="1:2" x14ac:dyDescent="0.25">
      <c r="A165" s="170"/>
      <c r="B165" s="170"/>
    </row>
    <row r="166" spans="1:2" x14ac:dyDescent="0.25">
      <c r="A166" s="170"/>
      <c r="B166" s="170"/>
    </row>
    <row r="167" spans="1:2" x14ac:dyDescent="0.25">
      <c r="A167" s="170"/>
      <c r="B167" s="170"/>
    </row>
    <row r="168" spans="1:2" x14ac:dyDescent="0.25">
      <c r="A168" s="170"/>
      <c r="B168" s="170"/>
    </row>
    <row r="169" spans="1:2" x14ac:dyDescent="0.25">
      <c r="A169" s="170"/>
      <c r="B169" s="170"/>
    </row>
    <row r="170" spans="1:2" x14ac:dyDescent="0.25">
      <c r="A170" s="170"/>
      <c r="B170" s="170"/>
    </row>
    <row r="171" spans="1:2" x14ac:dyDescent="0.25">
      <c r="A171" s="170"/>
      <c r="B171" s="170"/>
    </row>
    <row r="172" spans="1:2" x14ac:dyDescent="0.25">
      <c r="A172" s="170"/>
      <c r="B172" s="170"/>
    </row>
    <row r="173" spans="1:2" x14ac:dyDescent="0.25">
      <c r="A173" s="170"/>
      <c r="B173" s="170"/>
    </row>
    <row r="174" spans="1:2" x14ac:dyDescent="0.25">
      <c r="A174" s="170"/>
      <c r="B174" s="170"/>
    </row>
    <row r="175" spans="1:2" x14ac:dyDescent="0.25">
      <c r="A175" s="170"/>
      <c r="B175" s="170"/>
    </row>
    <row r="176" spans="1:2" x14ac:dyDescent="0.25">
      <c r="A176" s="170"/>
      <c r="B176" s="170"/>
    </row>
    <row r="177" spans="1:2" x14ac:dyDescent="0.25">
      <c r="A177" s="170"/>
      <c r="B177" s="170"/>
    </row>
    <row r="178" spans="1:2" x14ac:dyDescent="0.25">
      <c r="A178" s="170"/>
      <c r="B178" s="170"/>
    </row>
    <row r="179" spans="1:2" x14ac:dyDescent="0.25">
      <c r="A179" s="170"/>
      <c r="B179" s="170"/>
    </row>
    <row r="180" spans="1:2" x14ac:dyDescent="0.25">
      <c r="A180" s="170"/>
      <c r="B180" s="170"/>
    </row>
    <row r="181" spans="1:2" x14ac:dyDescent="0.25">
      <c r="A181" s="170"/>
      <c r="B181" s="170"/>
    </row>
    <row r="182" spans="1:2" x14ac:dyDescent="0.25">
      <c r="A182" s="170"/>
      <c r="B182" s="170"/>
    </row>
    <row r="183" spans="1:2" x14ac:dyDescent="0.25">
      <c r="A183" s="170"/>
      <c r="B183" s="170"/>
    </row>
    <row r="184" spans="1:2" x14ac:dyDescent="0.25">
      <c r="A184" s="170"/>
      <c r="B184" s="170"/>
    </row>
    <row r="185" spans="1:2" x14ac:dyDescent="0.25">
      <c r="A185" s="170"/>
      <c r="B185" s="170"/>
    </row>
    <row r="186" spans="1:2" x14ac:dyDescent="0.25">
      <c r="A186" s="170"/>
      <c r="B186" s="170"/>
    </row>
    <row r="187" spans="1:2" x14ac:dyDescent="0.25">
      <c r="A187" s="170"/>
      <c r="B187" s="170"/>
    </row>
    <row r="188" spans="1:2" x14ac:dyDescent="0.25">
      <c r="A188" s="170"/>
      <c r="B188" s="170"/>
    </row>
    <row r="189" spans="1:2" x14ac:dyDescent="0.25">
      <c r="A189" s="170"/>
      <c r="B189" s="170"/>
    </row>
    <row r="190" spans="1:2" x14ac:dyDescent="0.25">
      <c r="A190" s="170"/>
      <c r="B190" s="170"/>
    </row>
    <row r="191" spans="1:2" x14ac:dyDescent="0.25">
      <c r="A191" s="170"/>
      <c r="B191" s="170"/>
    </row>
    <row r="192" spans="1:2" x14ac:dyDescent="0.25">
      <c r="A192" s="170"/>
      <c r="B192" s="170"/>
    </row>
    <row r="193" spans="1:2" x14ac:dyDescent="0.25">
      <c r="A193" s="170"/>
      <c r="B193" s="170"/>
    </row>
    <row r="194" spans="1:2" x14ac:dyDescent="0.25">
      <c r="A194" s="170"/>
      <c r="B194" s="170"/>
    </row>
    <row r="195" spans="1:2" x14ac:dyDescent="0.25">
      <c r="A195" s="170"/>
      <c r="B195" s="170"/>
    </row>
    <row r="196" spans="1:2" x14ac:dyDescent="0.25">
      <c r="A196" s="170"/>
      <c r="B196" s="170"/>
    </row>
    <row r="197" spans="1:2" x14ac:dyDescent="0.25">
      <c r="A197" s="170"/>
      <c r="B197" s="170"/>
    </row>
    <row r="198" spans="1:2" x14ac:dyDescent="0.25">
      <c r="A198" s="170"/>
      <c r="B198" s="170"/>
    </row>
    <row r="199" spans="1:2" x14ac:dyDescent="0.25">
      <c r="A199" s="170"/>
      <c r="B199" s="170"/>
    </row>
    <row r="200" spans="1:2" x14ac:dyDescent="0.25">
      <c r="A200" s="170"/>
      <c r="B200" s="170"/>
    </row>
    <row r="201" spans="1:2" x14ac:dyDescent="0.25">
      <c r="A201" s="170"/>
      <c r="B201" s="170"/>
    </row>
    <row r="202" spans="1:2" x14ac:dyDescent="0.25">
      <c r="A202" s="170"/>
      <c r="B202" s="170"/>
    </row>
    <row r="203" spans="1:2" x14ac:dyDescent="0.25">
      <c r="A203" s="170"/>
      <c r="B203" s="170"/>
    </row>
    <row r="204" spans="1:2" x14ac:dyDescent="0.25">
      <c r="A204" s="170"/>
      <c r="B204" s="170"/>
    </row>
    <row r="205" spans="1:2" x14ac:dyDescent="0.25">
      <c r="A205" s="170"/>
      <c r="B205" s="170"/>
    </row>
    <row r="206" spans="1:2" x14ac:dyDescent="0.25">
      <c r="A206" s="170"/>
      <c r="B206" s="170"/>
    </row>
    <row r="207" spans="1:2" x14ac:dyDescent="0.25">
      <c r="A207" s="170"/>
      <c r="B207" s="170"/>
    </row>
    <row r="208" spans="1:2" x14ac:dyDescent="0.25">
      <c r="A208" s="170"/>
      <c r="B208" s="170"/>
    </row>
    <row r="209" spans="1:2" x14ac:dyDescent="0.25">
      <c r="A209" s="170"/>
      <c r="B209" s="170"/>
    </row>
    <row r="210" spans="1:2" x14ac:dyDescent="0.25">
      <c r="A210" s="170"/>
      <c r="B210" s="170"/>
    </row>
    <row r="211" spans="1:2" x14ac:dyDescent="0.25">
      <c r="A211" s="170"/>
      <c r="B211" s="170"/>
    </row>
    <row r="212" spans="1:2" x14ac:dyDescent="0.25">
      <c r="A212" s="170"/>
      <c r="B212" s="170"/>
    </row>
    <row r="213" spans="1:2" x14ac:dyDescent="0.25">
      <c r="A213" s="170"/>
      <c r="B213" s="170"/>
    </row>
    <row r="214" spans="1:2" x14ac:dyDescent="0.25">
      <c r="A214" s="170"/>
      <c r="B214" s="170"/>
    </row>
    <row r="215" spans="1:2" x14ac:dyDescent="0.25">
      <c r="A215" s="170"/>
      <c r="B215" s="170"/>
    </row>
    <row r="216" spans="1:2" x14ac:dyDescent="0.25">
      <c r="A216" s="170"/>
      <c r="B216" s="170"/>
    </row>
    <row r="217" spans="1:2" x14ac:dyDescent="0.25">
      <c r="A217" s="170"/>
      <c r="B217" s="170"/>
    </row>
    <row r="218" spans="1:2" x14ac:dyDescent="0.25">
      <c r="A218" s="170"/>
      <c r="B218" s="170"/>
    </row>
    <row r="219" spans="1:2" x14ac:dyDescent="0.25">
      <c r="A219" s="170"/>
      <c r="B219" s="170"/>
    </row>
    <row r="220" spans="1:2" x14ac:dyDescent="0.25">
      <c r="A220" s="170"/>
      <c r="B220" s="170"/>
    </row>
    <row r="221" spans="1:2" x14ac:dyDescent="0.25">
      <c r="A221" s="170"/>
      <c r="B221" s="170"/>
    </row>
    <row r="222" spans="1:2" x14ac:dyDescent="0.25">
      <c r="A222" s="170"/>
      <c r="B222" s="170"/>
    </row>
    <row r="223" spans="1:2" x14ac:dyDescent="0.25">
      <c r="A223" s="170"/>
      <c r="B223" s="170"/>
    </row>
    <row r="224" spans="1:2" x14ac:dyDescent="0.25">
      <c r="A224" s="170"/>
      <c r="B224" s="170"/>
    </row>
    <row r="225" spans="1:2" x14ac:dyDescent="0.25">
      <c r="A225" s="170"/>
      <c r="B225" s="170"/>
    </row>
    <row r="226" spans="1:2" x14ac:dyDescent="0.25">
      <c r="A226" s="170"/>
      <c r="B226" s="170"/>
    </row>
    <row r="227" spans="1:2" x14ac:dyDescent="0.25">
      <c r="A227" s="170"/>
      <c r="B227" s="170"/>
    </row>
    <row r="228" spans="1:2" x14ac:dyDescent="0.25">
      <c r="A228" s="170"/>
      <c r="B228" s="170"/>
    </row>
    <row r="229" spans="1:2" x14ac:dyDescent="0.25">
      <c r="A229" s="170"/>
      <c r="B229" s="170"/>
    </row>
    <row r="230" spans="1:2" x14ac:dyDescent="0.25">
      <c r="A230" s="170"/>
      <c r="B230" s="170"/>
    </row>
    <row r="231" spans="1:2" x14ac:dyDescent="0.25">
      <c r="A231" s="170"/>
      <c r="B231" s="170"/>
    </row>
    <row r="232" spans="1:2" x14ac:dyDescent="0.25">
      <c r="A232" s="170"/>
      <c r="B232" s="170"/>
    </row>
    <row r="233" spans="1:2" x14ac:dyDescent="0.25">
      <c r="A233" s="170"/>
      <c r="B233" s="170"/>
    </row>
    <row r="234" spans="1:2" x14ac:dyDescent="0.25">
      <c r="A234" s="170"/>
      <c r="B234" s="170"/>
    </row>
    <row r="235" spans="1:2" x14ac:dyDescent="0.25">
      <c r="A235" s="170"/>
      <c r="B235" s="170"/>
    </row>
    <row r="236" spans="1:2" x14ac:dyDescent="0.25">
      <c r="A236" s="170"/>
      <c r="B236" s="170"/>
    </row>
    <row r="237" spans="1:2" x14ac:dyDescent="0.25">
      <c r="A237" s="170"/>
      <c r="B237" s="170"/>
    </row>
    <row r="238" spans="1:2" x14ac:dyDescent="0.25">
      <c r="A238" s="170"/>
      <c r="B238" s="170"/>
    </row>
    <row r="239" spans="1:2" x14ac:dyDescent="0.25">
      <c r="A239" s="170"/>
      <c r="B239" s="170"/>
    </row>
    <row r="240" spans="1:2" x14ac:dyDescent="0.25">
      <c r="A240" s="170"/>
      <c r="B240" s="170"/>
    </row>
    <row r="241" spans="1:2" x14ac:dyDescent="0.25">
      <c r="A241" s="170"/>
      <c r="B241" s="170"/>
    </row>
    <row r="242" spans="1:2" x14ac:dyDescent="0.25">
      <c r="A242" s="170"/>
      <c r="B242" s="170"/>
    </row>
    <row r="243" spans="1:2" x14ac:dyDescent="0.25">
      <c r="A243" s="170"/>
      <c r="B243" s="170"/>
    </row>
    <row r="244" spans="1:2" x14ac:dyDescent="0.25">
      <c r="A244" s="170"/>
      <c r="B244" s="170"/>
    </row>
    <row r="245" spans="1:2" x14ac:dyDescent="0.25">
      <c r="A245" s="170"/>
      <c r="B245" s="170"/>
    </row>
    <row r="246" spans="1:2" x14ac:dyDescent="0.25">
      <c r="A246" s="170"/>
      <c r="B246" s="170"/>
    </row>
    <row r="247" spans="1:2" x14ac:dyDescent="0.25">
      <c r="A247" s="170"/>
      <c r="B247" s="170"/>
    </row>
    <row r="248" spans="1:2" x14ac:dyDescent="0.25">
      <c r="A248" s="170"/>
      <c r="B248" s="170"/>
    </row>
    <row r="249" spans="1:2" x14ac:dyDescent="0.25">
      <c r="A249" s="170"/>
      <c r="B249" s="170"/>
    </row>
    <row r="250" spans="1:2" x14ac:dyDescent="0.25">
      <c r="A250" s="170"/>
      <c r="B250" s="170"/>
    </row>
    <row r="251" spans="1:2" x14ac:dyDescent="0.25">
      <c r="A251" s="170"/>
      <c r="B251" s="170"/>
    </row>
    <row r="252" spans="1:2" x14ac:dyDescent="0.25">
      <c r="A252" s="170"/>
      <c r="B252" s="170"/>
    </row>
    <row r="253" spans="1:2" x14ac:dyDescent="0.25">
      <c r="A253" s="170"/>
      <c r="B253" s="170"/>
    </row>
    <row r="254" spans="1:2" x14ac:dyDescent="0.25">
      <c r="A254" s="170"/>
      <c r="B254" s="170"/>
    </row>
    <row r="255" spans="1:2" x14ac:dyDescent="0.25">
      <c r="A255" s="170"/>
      <c r="B255" s="170"/>
    </row>
    <row r="256" spans="1:2" x14ac:dyDescent="0.25">
      <c r="A256" s="170"/>
      <c r="B256" s="170"/>
    </row>
    <row r="257" spans="1:2" x14ac:dyDescent="0.25">
      <c r="A257" s="170"/>
      <c r="B257" s="170"/>
    </row>
    <row r="258" spans="1:2" x14ac:dyDescent="0.25">
      <c r="A258" s="170"/>
      <c r="B258" s="170"/>
    </row>
    <row r="259" spans="1:2" x14ac:dyDescent="0.25">
      <c r="A259" s="170"/>
      <c r="B259" s="170"/>
    </row>
    <row r="260" spans="1:2" x14ac:dyDescent="0.25">
      <c r="A260" s="170"/>
      <c r="B260" s="170"/>
    </row>
    <row r="261" spans="1:2" x14ac:dyDescent="0.25">
      <c r="A261" s="170"/>
      <c r="B261" s="170"/>
    </row>
    <row r="262" spans="1:2" x14ac:dyDescent="0.25">
      <c r="A262" s="170"/>
      <c r="B262" s="170"/>
    </row>
    <row r="263" spans="1:2" x14ac:dyDescent="0.25">
      <c r="A263" s="170"/>
      <c r="B263" s="170"/>
    </row>
    <row r="264" spans="1:2" x14ac:dyDescent="0.25">
      <c r="A264" s="170"/>
      <c r="B264" s="170"/>
    </row>
    <row r="265" spans="1:2" x14ac:dyDescent="0.25">
      <c r="A265" s="170"/>
      <c r="B265" s="170"/>
    </row>
    <row r="266" spans="1:2" x14ac:dyDescent="0.25">
      <c r="A266" s="170"/>
      <c r="B266" s="170"/>
    </row>
    <row r="267" spans="1:2" x14ac:dyDescent="0.25">
      <c r="A267" s="170"/>
      <c r="B267" s="170"/>
    </row>
    <row r="268" spans="1:2" x14ac:dyDescent="0.25">
      <c r="A268" s="170"/>
      <c r="B268" s="170"/>
    </row>
    <row r="269" spans="1:2" x14ac:dyDescent="0.25">
      <c r="A269" s="170"/>
      <c r="B269" s="170"/>
    </row>
    <row r="270" spans="1:2" x14ac:dyDescent="0.25">
      <c r="A270" s="170"/>
      <c r="B270" s="170"/>
    </row>
    <row r="271" spans="1:2" x14ac:dyDescent="0.25">
      <c r="A271" s="170"/>
      <c r="B271" s="170"/>
    </row>
    <row r="272" spans="1:2" x14ac:dyDescent="0.25">
      <c r="A272" s="170"/>
      <c r="B272" s="170"/>
    </row>
    <row r="273" spans="1:2" x14ac:dyDescent="0.25">
      <c r="A273" s="170"/>
      <c r="B273" s="170"/>
    </row>
    <row r="274" spans="1:2" x14ac:dyDescent="0.25">
      <c r="A274" s="170"/>
      <c r="B274" s="170"/>
    </row>
    <row r="275" spans="1:2" x14ac:dyDescent="0.25">
      <c r="A275" s="170"/>
      <c r="B275" s="170"/>
    </row>
    <row r="276" spans="1:2" x14ac:dyDescent="0.25">
      <c r="A276" s="170"/>
      <c r="B276" s="170"/>
    </row>
    <row r="277" spans="1:2" x14ac:dyDescent="0.25">
      <c r="A277" s="170"/>
      <c r="B277" s="170"/>
    </row>
    <row r="278" spans="1:2" x14ac:dyDescent="0.25">
      <c r="A278" s="170"/>
      <c r="B278" s="170"/>
    </row>
    <row r="279" spans="1:2" x14ac:dyDescent="0.25">
      <c r="A279" s="170"/>
      <c r="B279" s="170"/>
    </row>
    <row r="280" spans="1:2" x14ac:dyDescent="0.25">
      <c r="A280" s="170"/>
      <c r="B280" s="170"/>
    </row>
    <row r="281" spans="1:2" x14ac:dyDescent="0.25">
      <c r="A281" s="170"/>
      <c r="B281" s="170"/>
    </row>
    <row r="282" spans="1:2" x14ac:dyDescent="0.25">
      <c r="A282" s="170"/>
      <c r="B282" s="170"/>
    </row>
    <row r="283" spans="1:2" x14ac:dyDescent="0.25">
      <c r="A283" s="170"/>
      <c r="B283" s="170"/>
    </row>
    <row r="284" spans="1:2" x14ac:dyDescent="0.25">
      <c r="A284" s="170"/>
      <c r="B284" s="170"/>
    </row>
    <row r="285" spans="1:2" x14ac:dyDescent="0.25">
      <c r="A285" s="170"/>
      <c r="B285" s="170"/>
    </row>
    <row r="286" spans="1:2" x14ac:dyDescent="0.25">
      <c r="A286" s="170"/>
      <c r="B286" s="170"/>
    </row>
    <row r="287" spans="1:2" x14ac:dyDescent="0.25">
      <c r="A287" s="170"/>
      <c r="B287" s="170"/>
    </row>
    <row r="288" spans="1:2" x14ac:dyDescent="0.25">
      <c r="A288" s="170"/>
      <c r="B288" s="170"/>
    </row>
    <row r="289" spans="1:2" x14ac:dyDescent="0.25">
      <c r="A289" s="170"/>
      <c r="B289" s="170"/>
    </row>
    <row r="290" spans="1:2" x14ac:dyDescent="0.25">
      <c r="A290" s="170"/>
      <c r="B290" s="170"/>
    </row>
    <row r="291" spans="1:2" x14ac:dyDescent="0.25">
      <c r="A291" s="170"/>
      <c r="B291" s="170"/>
    </row>
    <row r="292" spans="1:2" x14ac:dyDescent="0.25">
      <c r="A292" s="170"/>
      <c r="B292" s="170"/>
    </row>
    <row r="293" spans="1:2" x14ac:dyDescent="0.25">
      <c r="A293" s="170"/>
      <c r="B293" s="170"/>
    </row>
    <row r="294" spans="1:2" x14ac:dyDescent="0.25">
      <c r="A294" s="170"/>
      <c r="B294" s="170"/>
    </row>
    <row r="295" spans="1:2" x14ac:dyDescent="0.25">
      <c r="A295" s="170"/>
      <c r="B295" s="170"/>
    </row>
    <row r="296" spans="1:2" x14ac:dyDescent="0.25">
      <c r="A296" s="170"/>
      <c r="B296" s="170"/>
    </row>
    <row r="297" spans="1:2" x14ac:dyDescent="0.25">
      <c r="A297" s="170"/>
      <c r="B297" s="170"/>
    </row>
    <row r="298" spans="1:2" x14ac:dyDescent="0.25">
      <c r="A298" s="170"/>
      <c r="B298" s="170"/>
    </row>
    <row r="299" spans="1:2" x14ac:dyDescent="0.25">
      <c r="A299" s="170"/>
      <c r="B299" s="170"/>
    </row>
    <row r="300" spans="1:2" x14ac:dyDescent="0.25">
      <c r="A300" s="170"/>
      <c r="B300" s="170"/>
    </row>
    <row r="301" spans="1:2" x14ac:dyDescent="0.25">
      <c r="A301" s="170"/>
      <c r="B301" s="170"/>
    </row>
    <row r="302" spans="1:2" x14ac:dyDescent="0.25">
      <c r="A302" s="170"/>
      <c r="B302" s="170"/>
    </row>
    <row r="303" spans="1:2" x14ac:dyDescent="0.25">
      <c r="A303" s="170"/>
      <c r="B303" s="170"/>
    </row>
    <row r="304" spans="1:2" x14ac:dyDescent="0.25">
      <c r="A304" s="170"/>
      <c r="B304" s="170"/>
    </row>
    <row r="305" spans="1:2" x14ac:dyDescent="0.25">
      <c r="A305" s="170"/>
      <c r="B305" s="170"/>
    </row>
    <row r="306" spans="1:2" x14ac:dyDescent="0.25">
      <c r="A306" s="170"/>
      <c r="B306" s="170"/>
    </row>
    <row r="307" spans="1:2" x14ac:dyDescent="0.25">
      <c r="A307" s="170"/>
      <c r="B307" s="170"/>
    </row>
    <row r="308" spans="1:2" x14ac:dyDescent="0.25">
      <c r="A308" s="170"/>
      <c r="B308" s="170"/>
    </row>
    <row r="309" spans="1:2" x14ac:dyDescent="0.25">
      <c r="A309" s="170"/>
      <c r="B309" s="170"/>
    </row>
    <row r="310" spans="1:2" x14ac:dyDescent="0.25">
      <c r="A310" s="170"/>
      <c r="B310" s="170"/>
    </row>
    <row r="311" spans="1:2" x14ac:dyDescent="0.25">
      <c r="A311" s="170"/>
      <c r="B311" s="170"/>
    </row>
    <row r="312" spans="1:2" x14ac:dyDescent="0.25">
      <c r="A312" s="170"/>
      <c r="B312" s="170"/>
    </row>
    <row r="313" spans="1:2" x14ac:dyDescent="0.25">
      <c r="A313" s="170"/>
      <c r="B313" s="170"/>
    </row>
    <row r="314" spans="1:2" x14ac:dyDescent="0.25">
      <c r="A314" s="170"/>
      <c r="B314" s="170"/>
    </row>
    <row r="315" spans="1:2" x14ac:dyDescent="0.25">
      <c r="A315" s="170"/>
      <c r="B315" s="170"/>
    </row>
    <row r="316" spans="1:2" x14ac:dyDescent="0.25">
      <c r="A316" s="170"/>
      <c r="B316" s="170"/>
    </row>
    <row r="317" spans="1:2" x14ac:dyDescent="0.25">
      <c r="A317" s="170"/>
      <c r="B317" s="170"/>
    </row>
    <row r="318" spans="1:2" x14ac:dyDescent="0.25">
      <c r="A318" s="170"/>
      <c r="B318" s="170"/>
    </row>
    <row r="319" spans="1:2" x14ac:dyDescent="0.25">
      <c r="A319" s="170"/>
      <c r="B319" s="170"/>
    </row>
    <row r="320" spans="1:2" x14ac:dyDescent="0.25">
      <c r="A320" s="170"/>
      <c r="B320" s="170"/>
    </row>
    <row r="321" spans="1:2" x14ac:dyDescent="0.25">
      <c r="A321" s="170"/>
      <c r="B321" s="170"/>
    </row>
    <row r="322" spans="1:2" x14ac:dyDescent="0.25">
      <c r="A322" s="170"/>
      <c r="B322" s="170"/>
    </row>
    <row r="323" spans="1:2" x14ac:dyDescent="0.25">
      <c r="A323" s="170"/>
      <c r="B323" s="170"/>
    </row>
    <row r="324" spans="1:2" x14ac:dyDescent="0.25">
      <c r="A324" s="170"/>
      <c r="B324" s="170"/>
    </row>
    <row r="325" spans="1:2" x14ac:dyDescent="0.25">
      <c r="A325" s="170"/>
      <c r="B325" s="170"/>
    </row>
    <row r="326" spans="1:2" x14ac:dyDescent="0.25">
      <c r="A326" s="170"/>
      <c r="B326" s="170"/>
    </row>
    <row r="327" spans="1:2" x14ac:dyDescent="0.25">
      <c r="A327" s="170"/>
      <c r="B327" s="170"/>
    </row>
    <row r="328" spans="1:2" x14ac:dyDescent="0.25">
      <c r="A328" s="170"/>
      <c r="B328" s="170"/>
    </row>
    <row r="329" spans="1:2" x14ac:dyDescent="0.25">
      <c r="A329" s="170"/>
      <c r="B329" s="170"/>
    </row>
    <row r="330" spans="1:2" x14ac:dyDescent="0.25">
      <c r="A330" s="170"/>
      <c r="B330" s="170"/>
    </row>
    <row r="331" spans="1:2" x14ac:dyDescent="0.25">
      <c r="A331" s="170"/>
      <c r="B331" s="170"/>
    </row>
    <row r="332" spans="1:2" x14ac:dyDescent="0.25">
      <c r="A332" s="170"/>
      <c r="B332" s="170"/>
    </row>
    <row r="333" spans="1:2" x14ac:dyDescent="0.25">
      <c r="A333" s="170"/>
      <c r="B333" s="170"/>
    </row>
    <row r="334" spans="1:2" x14ac:dyDescent="0.25">
      <c r="A334" s="170"/>
      <c r="B334" s="170"/>
    </row>
    <row r="335" spans="1:2" x14ac:dyDescent="0.25">
      <c r="A335" s="170"/>
      <c r="B335" s="170"/>
    </row>
    <row r="336" spans="1:2" x14ac:dyDescent="0.25">
      <c r="A336" s="170"/>
      <c r="B336" s="170"/>
    </row>
    <row r="337" spans="1:2" x14ac:dyDescent="0.25">
      <c r="A337" s="170"/>
      <c r="B337" s="170"/>
    </row>
    <row r="338" spans="1:2" x14ac:dyDescent="0.25">
      <c r="A338" s="170"/>
      <c r="B338" s="170"/>
    </row>
    <row r="339" spans="1:2" x14ac:dyDescent="0.25">
      <c r="A339" s="170"/>
      <c r="B339" s="170"/>
    </row>
    <row r="340" spans="1:2" x14ac:dyDescent="0.25">
      <c r="A340" s="170"/>
      <c r="B340" s="170"/>
    </row>
    <row r="341" spans="1:2" x14ac:dyDescent="0.25">
      <c r="A341" s="170"/>
      <c r="B341" s="170"/>
    </row>
    <row r="342" spans="1:2" x14ac:dyDescent="0.25">
      <c r="A342" s="170"/>
      <c r="B342" s="170"/>
    </row>
    <row r="343" spans="1:2" x14ac:dyDescent="0.25">
      <c r="A343" s="170"/>
      <c r="B343" s="170"/>
    </row>
    <row r="344" spans="1:2" x14ac:dyDescent="0.25">
      <c r="A344" s="170"/>
      <c r="B344" s="170"/>
    </row>
    <row r="345" spans="1:2" x14ac:dyDescent="0.25">
      <c r="A345" s="170"/>
      <c r="B345" s="170"/>
    </row>
    <row r="346" spans="1:2" x14ac:dyDescent="0.25">
      <c r="A346" s="170"/>
      <c r="B346" s="170"/>
    </row>
    <row r="347" spans="1:2" x14ac:dyDescent="0.25">
      <c r="A347" s="170"/>
      <c r="B347" s="170"/>
    </row>
    <row r="348" spans="1:2" x14ac:dyDescent="0.25">
      <c r="A348" s="170"/>
      <c r="B348" s="170"/>
    </row>
    <row r="349" spans="1:2" x14ac:dyDescent="0.25">
      <c r="A349" s="170"/>
      <c r="B349" s="170"/>
    </row>
    <row r="350" spans="1:2" x14ac:dyDescent="0.25">
      <c r="A350" s="170"/>
      <c r="B350" s="170"/>
    </row>
    <row r="351" spans="1:2" x14ac:dyDescent="0.25">
      <c r="A351" s="170"/>
      <c r="B351" s="170"/>
    </row>
    <row r="352" spans="1:2" x14ac:dyDescent="0.25">
      <c r="A352" s="170"/>
      <c r="B352" s="170"/>
    </row>
    <row r="353" spans="1:2" x14ac:dyDescent="0.25">
      <c r="A353" s="170"/>
      <c r="B353" s="170"/>
    </row>
    <row r="354" spans="1:2" x14ac:dyDescent="0.25">
      <c r="A354" s="170"/>
      <c r="B354" s="170"/>
    </row>
    <row r="355" spans="1:2" x14ac:dyDescent="0.25">
      <c r="A355" s="170"/>
      <c r="B355" s="170"/>
    </row>
    <row r="356" spans="1:2" x14ac:dyDescent="0.25">
      <c r="A356" s="170"/>
      <c r="B356" s="170"/>
    </row>
    <row r="357" spans="1:2" x14ac:dyDescent="0.25">
      <c r="A357" s="170"/>
      <c r="B357" s="170"/>
    </row>
    <row r="358" spans="1:2" x14ac:dyDescent="0.25">
      <c r="A358" s="170"/>
      <c r="B358" s="170"/>
    </row>
    <row r="359" spans="1:2" x14ac:dyDescent="0.25">
      <c r="A359" s="170"/>
      <c r="B359" s="170"/>
    </row>
    <row r="360" spans="1:2" x14ac:dyDescent="0.25">
      <c r="A360" s="170"/>
      <c r="B360" s="170"/>
    </row>
    <row r="361" spans="1:2" x14ac:dyDescent="0.25">
      <c r="A361" s="170"/>
      <c r="B361" s="170"/>
    </row>
    <row r="362" spans="1:2" x14ac:dyDescent="0.25">
      <c r="A362" s="170"/>
      <c r="B362" s="170"/>
    </row>
    <row r="363" spans="1:2" x14ac:dyDescent="0.25">
      <c r="A363" s="170"/>
      <c r="B363" s="170"/>
    </row>
    <row r="364" spans="1:2" x14ac:dyDescent="0.25">
      <c r="A364" s="170"/>
      <c r="B364" s="170"/>
    </row>
    <row r="365" spans="1:2" x14ac:dyDescent="0.25">
      <c r="A365" s="170"/>
      <c r="B365" s="170"/>
    </row>
    <row r="366" spans="1:2" x14ac:dyDescent="0.25">
      <c r="A366" s="170"/>
      <c r="B366" s="170"/>
    </row>
    <row r="367" spans="1:2" x14ac:dyDescent="0.25">
      <c r="A367" s="170"/>
      <c r="B367" s="170"/>
    </row>
    <row r="368" spans="1:2" x14ac:dyDescent="0.25">
      <c r="A368" s="170"/>
      <c r="B368" s="170"/>
    </row>
    <row r="369" spans="1:2" x14ac:dyDescent="0.25">
      <c r="A369" s="170"/>
      <c r="B369" s="170"/>
    </row>
    <row r="370" spans="1:2" x14ac:dyDescent="0.25">
      <c r="A370" s="170"/>
      <c r="B370" s="170"/>
    </row>
    <row r="371" spans="1:2" x14ac:dyDescent="0.25">
      <c r="A371" s="170"/>
      <c r="B371" s="170"/>
    </row>
    <row r="372" spans="1:2" x14ac:dyDescent="0.25">
      <c r="A372" s="170"/>
      <c r="B372" s="170"/>
    </row>
    <row r="373" spans="1:2" x14ac:dyDescent="0.25">
      <c r="A373" s="170"/>
      <c r="B373" s="170"/>
    </row>
    <row r="374" spans="1:2" x14ac:dyDescent="0.25">
      <c r="A374" s="170"/>
      <c r="B374" s="170"/>
    </row>
    <row r="375" spans="1:2" x14ac:dyDescent="0.25">
      <c r="A375" s="170"/>
      <c r="B375" s="170"/>
    </row>
    <row r="376" spans="1:2" x14ac:dyDescent="0.25">
      <c r="A376" s="170"/>
      <c r="B376" s="170"/>
    </row>
    <row r="377" spans="1:2" x14ac:dyDescent="0.25">
      <c r="A377" s="170"/>
      <c r="B377" s="170"/>
    </row>
    <row r="378" spans="1:2" x14ac:dyDescent="0.25">
      <c r="A378" s="170"/>
      <c r="B378" s="170"/>
    </row>
    <row r="379" spans="1:2" x14ac:dyDescent="0.25">
      <c r="A379" s="170"/>
      <c r="B379" s="170"/>
    </row>
    <row r="380" spans="1:2" x14ac:dyDescent="0.25">
      <c r="A380" s="170"/>
      <c r="B380" s="170"/>
    </row>
    <row r="381" spans="1:2" x14ac:dyDescent="0.25">
      <c r="A381" s="170"/>
      <c r="B381" s="170"/>
    </row>
    <row r="382" spans="1:2" x14ac:dyDescent="0.25">
      <c r="A382" s="170"/>
      <c r="B382" s="170"/>
    </row>
    <row r="383" spans="1:2" x14ac:dyDescent="0.25">
      <c r="A383" s="170"/>
      <c r="B383" s="170"/>
    </row>
    <row r="384" spans="1:2" x14ac:dyDescent="0.25">
      <c r="A384" s="170"/>
      <c r="B384" s="170"/>
    </row>
    <row r="385" spans="1:2" x14ac:dyDescent="0.25">
      <c r="A385" s="170"/>
      <c r="B385" s="170"/>
    </row>
    <row r="386" spans="1:2" x14ac:dyDescent="0.25">
      <c r="A386" s="170"/>
      <c r="B386" s="170"/>
    </row>
    <row r="387" spans="1:2" x14ac:dyDescent="0.25">
      <c r="A387" s="170"/>
      <c r="B387" s="170"/>
    </row>
    <row r="388" spans="1:2" x14ac:dyDescent="0.25">
      <c r="A388" s="170"/>
      <c r="B388" s="170"/>
    </row>
    <row r="389" spans="1:2" x14ac:dyDescent="0.25">
      <c r="A389" s="170"/>
      <c r="B389" s="170"/>
    </row>
    <row r="390" spans="1:2" x14ac:dyDescent="0.25">
      <c r="A390" s="170"/>
      <c r="B390" s="170"/>
    </row>
    <row r="391" spans="1:2" x14ac:dyDescent="0.25">
      <c r="A391" s="170"/>
      <c r="B391" s="170"/>
    </row>
    <row r="392" spans="1:2" x14ac:dyDescent="0.25">
      <c r="A392" s="170"/>
      <c r="B392" s="170"/>
    </row>
    <row r="393" spans="1:2" x14ac:dyDescent="0.25">
      <c r="A393" s="170"/>
      <c r="B393" s="170"/>
    </row>
    <row r="394" spans="1:2" x14ac:dyDescent="0.25">
      <c r="A394" s="170"/>
      <c r="B394" s="170"/>
    </row>
    <row r="395" spans="1:2" x14ac:dyDescent="0.25">
      <c r="A395" s="170"/>
      <c r="B395" s="170"/>
    </row>
    <row r="396" spans="1:2" x14ac:dyDescent="0.25">
      <c r="A396" s="170"/>
      <c r="B396" s="170"/>
    </row>
    <row r="397" spans="1:2" x14ac:dyDescent="0.25">
      <c r="A397" s="170"/>
      <c r="B397" s="170"/>
    </row>
    <row r="398" spans="1:2" x14ac:dyDescent="0.25">
      <c r="A398" s="170"/>
      <c r="B398" s="170"/>
    </row>
    <row r="399" spans="1:2" x14ac:dyDescent="0.25">
      <c r="A399" s="170"/>
      <c r="B399" s="170"/>
    </row>
    <row r="400" spans="1:2" x14ac:dyDescent="0.25">
      <c r="A400" s="170"/>
      <c r="B400" s="170"/>
    </row>
    <row r="401" spans="1:2" x14ac:dyDescent="0.25">
      <c r="A401" s="170"/>
      <c r="B401" s="170"/>
    </row>
    <row r="402" spans="1:2" x14ac:dyDescent="0.25">
      <c r="A402" s="170"/>
      <c r="B402" s="170"/>
    </row>
    <row r="403" spans="1:2" x14ac:dyDescent="0.25">
      <c r="A403" s="170"/>
      <c r="B403" s="170"/>
    </row>
    <row r="404" spans="1:2" x14ac:dyDescent="0.25">
      <c r="A404" s="170"/>
      <c r="B404" s="170"/>
    </row>
    <row r="405" spans="1:2" x14ac:dyDescent="0.25">
      <c r="A405" s="170"/>
      <c r="B405" s="170"/>
    </row>
    <row r="406" spans="1:2" x14ac:dyDescent="0.25">
      <c r="A406" s="170"/>
      <c r="B406" s="170"/>
    </row>
    <row r="407" spans="1:2" x14ac:dyDescent="0.25">
      <c r="A407" s="170"/>
      <c r="B407" s="170"/>
    </row>
    <row r="408" spans="1:2" x14ac:dyDescent="0.25">
      <c r="A408" s="170"/>
      <c r="B408" s="170"/>
    </row>
    <row r="409" spans="1:2" x14ac:dyDescent="0.25">
      <c r="A409" s="170"/>
      <c r="B409" s="170"/>
    </row>
    <row r="410" spans="1:2" x14ac:dyDescent="0.25">
      <c r="A410" s="170"/>
      <c r="B410" s="170"/>
    </row>
    <row r="411" spans="1:2" x14ac:dyDescent="0.25">
      <c r="A411" s="170"/>
      <c r="B411" s="170"/>
    </row>
    <row r="412" spans="1:2" x14ac:dyDescent="0.25">
      <c r="A412" s="170"/>
      <c r="B412" s="170"/>
    </row>
    <row r="413" spans="1:2" x14ac:dyDescent="0.25">
      <c r="A413" s="170"/>
      <c r="B413" s="170"/>
    </row>
    <row r="414" spans="1:2" x14ac:dyDescent="0.25">
      <c r="A414" s="170"/>
      <c r="B414" s="170"/>
    </row>
    <row r="415" spans="1:2" x14ac:dyDescent="0.25">
      <c r="A415" s="170"/>
      <c r="B415" s="170"/>
    </row>
    <row r="416" spans="1:2" x14ac:dyDescent="0.25">
      <c r="A416" s="170"/>
      <c r="B416" s="170"/>
    </row>
    <row r="417" spans="1:2" x14ac:dyDescent="0.25">
      <c r="A417" s="170"/>
      <c r="B417" s="170"/>
    </row>
    <row r="418" spans="1:2" x14ac:dyDescent="0.25">
      <c r="A418" s="170"/>
      <c r="B418" s="170"/>
    </row>
    <row r="419" spans="1:2" x14ac:dyDescent="0.25">
      <c r="A419" s="170"/>
      <c r="B419" s="170"/>
    </row>
    <row r="420" spans="1:2" x14ac:dyDescent="0.25">
      <c r="A420" s="170"/>
      <c r="B420" s="170"/>
    </row>
    <row r="421" spans="1:2" x14ac:dyDescent="0.25">
      <c r="A421" s="170"/>
      <c r="B421" s="170"/>
    </row>
    <row r="422" spans="1:2" x14ac:dyDescent="0.25">
      <c r="A422" s="170"/>
      <c r="B422" s="170"/>
    </row>
    <row r="423" spans="1:2" x14ac:dyDescent="0.25">
      <c r="A423" s="170"/>
      <c r="B423" s="170"/>
    </row>
    <row r="424" spans="1:2" x14ac:dyDescent="0.25">
      <c r="A424" s="170"/>
      <c r="B424" s="170"/>
    </row>
    <row r="425" spans="1:2" x14ac:dyDescent="0.25">
      <c r="A425" s="170"/>
      <c r="B425" s="170"/>
    </row>
    <row r="426" spans="1:2" x14ac:dyDescent="0.25">
      <c r="A426" s="170"/>
      <c r="B426" s="170"/>
    </row>
    <row r="427" spans="1:2" x14ac:dyDescent="0.25">
      <c r="A427" s="170"/>
      <c r="B427" s="170"/>
    </row>
    <row r="428" spans="1:2" x14ac:dyDescent="0.25">
      <c r="A428" s="170"/>
      <c r="B428" s="170"/>
    </row>
    <row r="429" spans="1:2" x14ac:dyDescent="0.25">
      <c r="A429" s="170"/>
      <c r="B429" s="170"/>
    </row>
    <row r="430" spans="1:2" x14ac:dyDescent="0.25">
      <c r="A430" s="170"/>
      <c r="B430" s="170"/>
    </row>
    <row r="431" spans="1:2" x14ac:dyDescent="0.25">
      <c r="A431" s="170"/>
      <c r="B431" s="170"/>
    </row>
    <row r="432" spans="1:2" x14ac:dyDescent="0.25">
      <c r="A432" s="170"/>
      <c r="B432" s="170"/>
    </row>
    <row r="433" spans="1:2" x14ac:dyDescent="0.25">
      <c r="A433" s="170"/>
      <c r="B433" s="170"/>
    </row>
    <row r="434" spans="1:2" x14ac:dyDescent="0.25">
      <c r="A434" s="170"/>
      <c r="B434" s="170"/>
    </row>
    <row r="435" spans="1:2" x14ac:dyDescent="0.25">
      <c r="A435" s="170"/>
      <c r="B435" s="170"/>
    </row>
    <row r="436" spans="1:2" x14ac:dyDescent="0.25">
      <c r="A436" s="170"/>
      <c r="B436" s="170"/>
    </row>
    <row r="437" spans="1:2" x14ac:dyDescent="0.25">
      <c r="A437" s="170"/>
      <c r="B437" s="170"/>
    </row>
    <row r="438" spans="1:2" x14ac:dyDescent="0.25">
      <c r="A438" s="170"/>
      <c r="B438" s="170"/>
    </row>
    <row r="439" spans="1:2" x14ac:dyDescent="0.25">
      <c r="A439" s="170"/>
      <c r="B439" s="170"/>
    </row>
    <row r="440" spans="1:2" x14ac:dyDescent="0.25">
      <c r="A440" s="170"/>
      <c r="B440" s="170"/>
    </row>
    <row r="441" spans="1:2" x14ac:dyDescent="0.25">
      <c r="A441" s="170"/>
      <c r="B441" s="170"/>
    </row>
    <row r="442" spans="1:2" x14ac:dyDescent="0.25">
      <c r="A442" s="170"/>
      <c r="B442" s="170"/>
    </row>
    <row r="443" spans="1:2" x14ac:dyDescent="0.25">
      <c r="A443" s="170"/>
      <c r="B443" s="170"/>
    </row>
    <row r="444" spans="1:2" x14ac:dyDescent="0.25">
      <c r="A444" s="170"/>
      <c r="B444" s="170"/>
    </row>
    <row r="445" spans="1:2" x14ac:dyDescent="0.25">
      <c r="A445" s="170"/>
      <c r="B445" s="170"/>
    </row>
    <row r="446" spans="1:2" x14ac:dyDescent="0.25">
      <c r="A446" s="170"/>
      <c r="B446" s="170"/>
    </row>
    <row r="447" spans="1:2" x14ac:dyDescent="0.25">
      <c r="A447" s="170"/>
      <c r="B447" s="170"/>
    </row>
    <row r="448" spans="1:2" x14ac:dyDescent="0.25">
      <c r="A448" s="170"/>
      <c r="B448" s="170"/>
    </row>
    <row r="449" spans="1:2" x14ac:dyDescent="0.25">
      <c r="A449" s="170"/>
      <c r="B449" s="170"/>
    </row>
    <row r="450" spans="1:2" x14ac:dyDescent="0.25">
      <c r="A450" s="170"/>
      <c r="B450" s="170"/>
    </row>
    <row r="451" spans="1:2" x14ac:dyDescent="0.25">
      <c r="A451" s="170"/>
      <c r="B451" s="170"/>
    </row>
    <row r="452" spans="1:2" x14ac:dyDescent="0.25">
      <c r="A452" s="170"/>
      <c r="B452" s="170"/>
    </row>
    <row r="453" spans="1:2" x14ac:dyDescent="0.25">
      <c r="A453" s="170"/>
      <c r="B453" s="170"/>
    </row>
    <row r="454" spans="1:2" x14ac:dyDescent="0.25">
      <c r="A454" s="170"/>
      <c r="B454" s="170"/>
    </row>
    <row r="455" spans="1:2" x14ac:dyDescent="0.25">
      <c r="A455" s="170"/>
      <c r="B455" s="170"/>
    </row>
    <row r="456" spans="1:2" x14ac:dyDescent="0.25">
      <c r="A456" s="170"/>
      <c r="B456" s="170"/>
    </row>
    <row r="457" spans="1:2" x14ac:dyDescent="0.25">
      <c r="A457" s="170"/>
      <c r="B457" s="170"/>
    </row>
    <row r="458" spans="1:2" x14ac:dyDescent="0.25">
      <c r="A458" s="170"/>
      <c r="B458" s="170"/>
    </row>
    <row r="459" spans="1:2" x14ac:dyDescent="0.25">
      <c r="A459" s="170"/>
      <c r="B459" s="170"/>
    </row>
    <row r="460" spans="1:2" x14ac:dyDescent="0.25">
      <c r="A460" s="170"/>
      <c r="B460" s="170"/>
    </row>
    <row r="461" spans="1:2" x14ac:dyDescent="0.25">
      <c r="A461" s="170"/>
      <c r="B461" s="170"/>
    </row>
    <row r="462" spans="1:2" x14ac:dyDescent="0.25">
      <c r="A462" s="170"/>
      <c r="B462" s="170"/>
    </row>
    <row r="463" spans="1:2" x14ac:dyDescent="0.25">
      <c r="A463" s="170"/>
      <c r="B463" s="170"/>
    </row>
    <row r="464" spans="1:2" x14ac:dyDescent="0.25">
      <c r="A464" s="170"/>
      <c r="B464" s="170"/>
    </row>
    <row r="465" spans="1:2" x14ac:dyDescent="0.25">
      <c r="A465" s="170"/>
      <c r="B465" s="170"/>
    </row>
    <row r="466" spans="1:2" x14ac:dyDescent="0.25">
      <c r="A466" s="170"/>
      <c r="B466" s="170"/>
    </row>
    <row r="467" spans="1:2" x14ac:dyDescent="0.25">
      <c r="A467" s="170"/>
      <c r="B467" s="170"/>
    </row>
    <row r="468" spans="1:2" x14ac:dyDescent="0.25">
      <c r="A468" s="170"/>
      <c r="B468" s="170"/>
    </row>
    <row r="469" spans="1:2" x14ac:dyDescent="0.25">
      <c r="A469" s="170"/>
      <c r="B469" s="170"/>
    </row>
    <row r="470" spans="1:2" x14ac:dyDescent="0.25">
      <c r="A470" s="170"/>
      <c r="B470" s="170"/>
    </row>
    <row r="471" spans="1:2" x14ac:dyDescent="0.25">
      <c r="A471" s="170"/>
      <c r="B471" s="170"/>
    </row>
    <row r="472" spans="1:2" x14ac:dyDescent="0.25">
      <c r="A472" s="170"/>
      <c r="B472" s="170"/>
    </row>
    <row r="473" spans="1:2" x14ac:dyDescent="0.25">
      <c r="A473" s="170"/>
      <c r="B473" s="170"/>
    </row>
    <row r="474" spans="1:2" x14ac:dyDescent="0.25">
      <c r="A474" s="170"/>
      <c r="B474" s="170"/>
    </row>
    <row r="475" spans="1:2" x14ac:dyDescent="0.25">
      <c r="A475" s="170"/>
      <c r="B475" s="170"/>
    </row>
    <row r="476" spans="1:2" x14ac:dyDescent="0.25">
      <c r="A476" s="170"/>
      <c r="B476" s="170"/>
    </row>
    <row r="477" spans="1:2" x14ac:dyDescent="0.25">
      <c r="A477" s="170"/>
      <c r="B477" s="170"/>
    </row>
    <row r="478" spans="1:2" x14ac:dyDescent="0.25">
      <c r="A478" s="170"/>
      <c r="B478" s="170"/>
    </row>
    <row r="479" spans="1:2" x14ac:dyDescent="0.25">
      <c r="A479" s="170"/>
      <c r="B479" s="170"/>
    </row>
    <row r="480" spans="1:2" x14ac:dyDescent="0.25">
      <c r="A480" s="170"/>
      <c r="B480" s="170"/>
    </row>
    <row r="481" spans="1:2" x14ac:dyDescent="0.25">
      <c r="A481" s="170"/>
      <c r="B481" s="170"/>
    </row>
    <row r="482" spans="1:2" x14ac:dyDescent="0.25">
      <c r="A482" s="170"/>
      <c r="B482" s="170"/>
    </row>
    <row r="483" spans="1:2" x14ac:dyDescent="0.25">
      <c r="A483" s="170"/>
      <c r="B483" s="170"/>
    </row>
    <row r="484" spans="1:2" x14ac:dyDescent="0.25">
      <c r="A484" s="170"/>
      <c r="B484" s="170"/>
    </row>
    <row r="485" spans="1:2" x14ac:dyDescent="0.25">
      <c r="A485" s="170"/>
      <c r="B485" s="170"/>
    </row>
    <row r="486" spans="1:2" x14ac:dyDescent="0.25">
      <c r="A486" s="170"/>
      <c r="B486" s="170"/>
    </row>
    <row r="487" spans="1:2" x14ac:dyDescent="0.25">
      <c r="A487" s="170"/>
      <c r="B487" s="170"/>
    </row>
    <row r="488" spans="1:2" x14ac:dyDescent="0.25">
      <c r="A488" s="170"/>
      <c r="B488" s="170"/>
    </row>
    <row r="489" spans="1:2" x14ac:dyDescent="0.25">
      <c r="A489" s="170"/>
      <c r="B489" s="170"/>
    </row>
    <row r="490" spans="1:2" x14ac:dyDescent="0.25">
      <c r="A490" s="170"/>
      <c r="B490" s="170"/>
    </row>
    <row r="491" spans="1:2" x14ac:dyDescent="0.25">
      <c r="A491" s="170"/>
      <c r="B491" s="170"/>
    </row>
    <row r="492" spans="1:2" x14ac:dyDescent="0.25">
      <c r="A492" s="170"/>
      <c r="B492" s="170"/>
    </row>
    <row r="493" spans="1:2" x14ac:dyDescent="0.25">
      <c r="A493" s="170"/>
      <c r="B493" s="170"/>
    </row>
    <row r="494" spans="1:2" x14ac:dyDescent="0.25">
      <c r="A494" s="170"/>
      <c r="B494" s="170"/>
    </row>
    <row r="495" spans="1:2" x14ac:dyDescent="0.25">
      <c r="A495" s="170"/>
      <c r="B495" s="170"/>
    </row>
    <row r="496" spans="1:2" x14ac:dyDescent="0.25">
      <c r="A496" s="170"/>
      <c r="B496" s="170"/>
    </row>
    <row r="497" spans="1:2" x14ac:dyDescent="0.25">
      <c r="A497" s="170"/>
      <c r="B497" s="170"/>
    </row>
    <row r="498" spans="1:2" x14ac:dyDescent="0.25">
      <c r="A498" s="170"/>
      <c r="B498" s="170"/>
    </row>
    <row r="499" spans="1:2" x14ac:dyDescent="0.25">
      <c r="A499" s="170"/>
      <c r="B499" s="170"/>
    </row>
    <row r="500" spans="1:2" x14ac:dyDescent="0.25">
      <c r="A500" s="170"/>
      <c r="B500" s="170"/>
    </row>
    <row r="501" spans="1:2" x14ac:dyDescent="0.25">
      <c r="A501" s="170"/>
      <c r="B501" s="170"/>
    </row>
    <row r="502" spans="1:2" x14ac:dyDescent="0.25">
      <c r="A502" s="170"/>
      <c r="B502" s="170"/>
    </row>
    <row r="503" spans="1:2" x14ac:dyDescent="0.25">
      <c r="A503" s="170"/>
      <c r="B503" s="170"/>
    </row>
    <row r="504" spans="1:2" x14ac:dyDescent="0.25">
      <c r="A504" s="170"/>
      <c r="B504" s="170"/>
    </row>
    <row r="505" spans="1:2" x14ac:dyDescent="0.25">
      <c r="A505" s="170"/>
      <c r="B505" s="170"/>
    </row>
    <row r="506" spans="1:2" x14ac:dyDescent="0.25">
      <c r="A506" s="170"/>
      <c r="B506" s="170"/>
    </row>
    <row r="507" spans="1:2" x14ac:dyDescent="0.25">
      <c r="A507" s="170"/>
      <c r="B507" s="170"/>
    </row>
    <row r="508" spans="1:2" x14ac:dyDescent="0.25">
      <c r="A508" s="170"/>
      <c r="B508" s="170"/>
    </row>
    <row r="509" spans="1:2" x14ac:dyDescent="0.25">
      <c r="A509" s="170"/>
      <c r="B509" s="170"/>
    </row>
    <row r="510" spans="1:2" x14ac:dyDescent="0.25">
      <c r="A510" s="170"/>
      <c r="B510" s="170"/>
    </row>
    <row r="511" spans="1:2" x14ac:dyDescent="0.25">
      <c r="A511" s="170"/>
      <c r="B511" s="170"/>
    </row>
    <row r="512" spans="1:2" x14ac:dyDescent="0.25">
      <c r="A512" s="170"/>
      <c r="B512" s="170"/>
    </row>
    <row r="513" spans="1:2" x14ac:dyDescent="0.25">
      <c r="A513" s="170"/>
      <c r="B513" s="170"/>
    </row>
    <row r="514" spans="1:2" x14ac:dyDescent="0.25">
      <c r="A514" s="170"/>
      <c r="B514" s="170"/>
    </row>
    <row r="515" spans="1:2" x14ac:dyDescent="0.25">
      <c r="A515" s="170"/>
      <c r="B515" s="170"/>
    </row>
    <row r="516" spans="1:2" x14ac:dyDescent="0.25">
      <c r="A516" s="170"/>
      <c r="B516" s="170"/>
    </row>
    <row r="517" spans="1:2" x14ac:dyDescent="0.25">
      <c r="A517" s="170"/>
      <c r="B517" s="170"/>
    </row>
    <row r="518" spans="1:2" x14ac:dyDescent="0.25">
      <c r="A518" s="170"/>
      <c r="B518" s="170"/>
    </row>
    <row r="519" spans="1:2" x14ac:dyDescent="0.25">
      <c r="A519" s="170"/>
      <c r="B519" s="170"/>
    </row>
    <row r="520" spans="1:2" x14ac:dyDescent="0.25">
      <c r="A520" s="170"/>
      <c r="B520" s="170"/>
    </row>
    <row r="521" spans="1:2" x14ac:dyDescent="0.25">
      <c r="A521" s="170"/>
      <c r="B521" s="170"/>
    </row>
    <row r="522" spans="1:2" x14ac:dyDescent="0.25">
      <c r="A522" s="170"/>
      <c r="B522" s="170"/>
    </row>
    <row r="523" spans="1:2" x14ac:dyDescent="0.25">
      <c r="A523" s="170"/>
      <c r="B523" s="170"/>
    </row>
    <row r="524" spans="1:2" x14ac:dyDescent="0.25">
      <c r="A524" s="170"/>
      <c r="B524" s="170"/>
    </row>
    <row r="525" spans="1:2" x14ac:dyDescent="0.25">
      <c r="A525" s="170"/>
      <c r="B525" s="170"/>
    </row>
    <row r="526" spans="1:2" x14ac:dyDescent="0.25">
      <c r="A526" s="170"/>
      <c r="B526" s="170"/>
    </row>
    <row r="527" spans="1:2" x14ac:dyDescent="0.25">
      <c r="A527" s="170"/>
      <c r="B527" s="170"/>
    </row>
    <row r="528" spans="1:2" x14ac:dyDescent="0.25">
      <c r="A528" s="170"/>
      <c r="B528" s="170"/>
    </row>
    <row r="529" spans="1:2" x14ac:dyDescent="0.25">
      <c r="A529" s="170"/>
      <c r="B529" s="170"/>
    </row>
    <row r="530" spans="1:2" x14ac:dyDescent="0.25">
      <c r="A530" s="170"/>
      <c r="B530" s="170"/>
    </row>
    <row r="531" spans="1:2" x14ac:dyDescent="0.25">
      <c r="A531" s="170"/>
      <c r="B531" s="170"/>
    </row>
    <row r="532" spans="1:2" x14ac:dyDescent="0.25">
      <c r="A532" s="170"/>
      <c r="B532" s="170"/>
    </row>
    <row r="533" spans="1:2" x14ac:dyDescent="0.25">
      <c r="A533" s="170"/>
      <c r="B533" s="170"/>
    </row>
    <row r="534" spans="1:2" x14ac:dyDescent="0.25">
      <c r="A534" s="170"/>
      <c r="B534" s="170"/>
    </row>
    <row r="535" spans="1:2" x14ac:dyDescent="0.25">
      <c r="A535" s="170"/>
      <c r="B535" s="170"/>
    </row>
    <row r="536" spans="1:2" x14ac:dyDescent="0.25">
      <c r="A536" s="170"/>
      <c r="B536" s="170"/>
    </row>
    <row r="537" spans="1:2" x14ac:dyDescent="0.25">
      <c r="A537" s="170"/>
      <c r="B537" s="170"/>
    </row>
    <row r="538" spans="1:2" x14ac:dyDescent="0.25">
      <c r="A538" s="170"/>
      <c r="B538" s="170"/>
    </row>
    <row r="539" spans="1:2" x14ac:dyDescent="0.25">
      <c r="A539" s="170"/>
      <c r="B539" s="170"/>
    </row>
    <row r="540" spans="1:2" x14ac:dyDescent="0.25">
      <c r="A540" s="170"/>
      <c r="B540" s="170"/>
    </row>
    <row r="541" spans="1:2" x14ac:dyDescent="0.25">
      <c r="A541" s="170"/>
      <c r="B541" s="170"/>
    </row>
    <row r="542" spans="1:2" x14ac:dyDescent="0.25">
      <c r="A542" s="170"/>
      <c r="B542" s="170"/>
    </row>
    <row r="543" spans="1:2" x14ac:dyDescent="0.25">
      <c r="A543" s="170"/>
      <c r="B543" s="170"/>
    </row>
    <row r="544" spans="1:2" x14ac:dyDescent="0.25">
      <c r="A544" s="170"/>
      <c r="B544" s="170"/>
    </row>
    <row r="545" spans="1:2" x14ac:dyDescent="0.25">
      <c r="A545" s="170"/>
      <c r="B545" s="170"/>
    </row>
    <row r="546" spans="1:2" x14ac:dyDescent="0.25">
      <c r="A546" s="170"/>
      <c r="B546" s="170"/>
    </row>
    <row r="547" spans="1:2" x14ac:dyDescent="0.25">
      <c r="A547" s="170"/>
      <c r="B547" s="170"/>
    </row>
    <row r="548" spans="1:2" x14ac:dyDescent="0.25">
      <c r="A548" s="170"/>
      <c r="B548" s="170"/>
    </row>
    <row r="549" spans="1:2" x14ac:dyDescent="0.25">
      <c r="A549" s="170"/>
      <c r="B549" s="170"/>
    </row>
    <row r="550" spans="1:2" x14ac:dyDescent="0.25">
      <c r="A550" s="170"/>
      <c r="B550" s="170"/>
    </row>
    <row r="551" spans="1:2" x14ac:dyDescent="0.25">
      <c r="A551" s="170"/>
      <c r="B551" s="170"/>
    </row>
    <row r="552" spans="1:2" x14ac:dyDescent="0.25">
      <c r="A552" s="170"/>
      <c r="B552" s="170"/>
    </row>
    <row r="553" spans="1:2" x14ac:dyDescent="0.25">
      <c r="A553" s="170"/>
      <c r="B553" s="170"/>
    </row>
    <row r="554" spans="1:2" x14ac:dyDescent="0.25">
      <c r="A554" s="170"/>
      <c r="B554" s="170"/>
    </row>
    <row r="555" spans="1:2" x14ac:dyDescent="0.25">
      <c r="A555" s="170"/>
      <c r="B555" s="170"/>
    </row>
    <row r="556" spans="1:2" x14ac:dyDescent="0.25">
      <c r="A556" s="170"/>
      <c r="B556" s="170"/>
    </row>
    <row r="557" spans="1:2" x14ac:dyDescent="0.25">
      <c r="A557" s="170"/>
      <c r="B557" s="170"/>
    </row>
    <row r="558" spans="1:2" x14ac:dyDescent="0.25">
      <c r="A558" s="170"/>
      <c r="B558" s="170"/>
    </row>
    <row r="559" spans="1:2" x14ac:dyDescent="0.25">
      <c r="A559" s="170"/>
      <c r="B559" s="170"/>
    </row>
    <row r="560" spans="1:2" x14ac:dyDescent="0.25">
      <c r="A560" s="170"/>
      <c r="B560" s="170"/>
    </row>
    <row r="561" spans="1:2" x14ac:dyDescent="0.25">
      <c r="A561" s="170"/>
      <c r="B561" s="170"/>
    </row>
    <row r="562" spans="1:2" x14ac:dyDescent="0.25">
      <c r="A562" s="170"/>
      <c r="B562" s="170"/>
    </row>
    <row r="563" spans="1:2" x14ac:dyDescent="0.25">
      <c r="A563" s="170"/>
      <c r="B563" s="170"/>
    </row>
    <row r="564" spans="1:2" x14ac:dyDescent="0.25">
      <c r="A564" s="170"/>
      <c r="B564" s="170"/>
    </row>
    <row r="565" spans="1:2" x14ac:dyDescent="0.25">
      <c r="A565" s="170"/>
      <c r="B565" s="170"/>
    </row>
    <row r="566" spans="1:2" x14ac:dyDescent="0.25">
      <c r="A566" s="170"/>
      <c r="B566" s="170"/>
    </row>
    <row r="567" spans="1:2" x14ac:dyDescent="0.25">
      <c r="A567" s="170"/>
      <c r="B567" s="170"/>
    </row>
    <row r="568" spans="1:2" x14ac:dyDescent="0.25">
      <c r="A568" s="170"/>
      <c r="B568" s="170"/>
    </row>
    <row r="569" spans="1:2" x14ac:dyDescent="0.25">
      <c r="A569" s="170"/>
      <c r="B569" s="170"/>
    </row>
    <row r="570" spans="1:2" x14ac:dyDescent="0.25">
      <c r="A570" s="170"/>
      <c r="B570" s="170"/>
    </row>
    <row r="571" spans="1:2" x14ac:dyDescent="0.25">
      <c r="A571" s="170"/>
      <c r="B571" s="170"/>
    </row>
    <row r="572" spans="1:2" x14ac:dyDescent="0.25">
      <c r="A572" s="170"/>
      <c r="B572" s="170"/>
    </row>
    <row r="573" spans="1:2" x14ac:dyDescent="0.25">
      <c r="A573" s="170"/>
      <c r="B573" s="170"/>
    </row>
    <row r="574" spans="1:2" x14ac:dyDescent="0.25">
      <c r="A574" s="170"/>
      <c r="B574" s="170"/>
    </row>
    <row r="575" spans="1:2" x14ac:dyDescent="0.25">
      <c r="A575" s="170"/>
      <c r="B575" s="170"/>
    </row>
    <row r="576" spans="1:2" x14ac:dyDescent="0.25">
      <c r="A576" s="170"/>
      <c r="B576" s="170"/>
    </row>
    <row r="577" spans="1:2" x14ac:dyDescent="0.25">
      <c r="A577" s="170"/>
      <c r="B577" s="170"/>
    </row>
    <row r="578" spans="1:2" x14ac:dyDescent="0.25">
      <c r="A578" s="170"/>
      <c r="B578" s="170"/>
    </row>
    <row r="579" spans="1:2" x14ac:dyDescent="0.25">
      <c r="A579" s="170"/>
      <c r="B579" s="170"/>
    </row>
    <row r="580" spans="1:2" x14ac:dyDescent="0.25">
      <c r="A580" s="170"/>
      <c r="B580" s="170"/>
    </row>
    <row r="581" spans="1:2" x14ac:dyDescent="0.25">
      <c r="A581" s="170"/>
      <c r="B581" s="170"/>
    </row>
    <row r="582" spans="1:2" x14ac:dyDescent="0.25">
      <c r="A582" s="170"/>
      <c r="B582" s="170"/>
    </row>
    <row r="583" spans="1:2" x14ac:dyDescent="0.25">
      <c r="A583" s="170"/>
      <c r="B583" s="170"/>
    </row>
    <row r="584" spans="1:2" x14ac:dyDescent="0.25">
      <c r="A584" s="170"/>
      <c r="B584" s="170"/>
    </row>
    <row r="585" spans="1:2" x14ac:dyDescent="0.25">
      <c r="A585" s="170"/>
      <c r="B585" s="170"/>
    </row>
    <row r="586" spans="1:2" x14ac:dyDescent="0.25">
      <c r="A586" s="170"/>
      <c r="B586" s="170"/>
    </row>
    <row r="587" spans="1:2" x14ac:dyDescent="0.25">
      <c r="A587" s="170"/>
      <c r="B587" s="170"/>
    </row>
    <row r="588" spans="1:2" x14ac:dyDescent="0.25">
      <c r="A588" s="170"/>
      <c r="B588" s="170"/>
    </row>
    <row r="589" spans="1:2" x14ac:dyDescent="0.25">
      <c r="A589" s="170"/>
      <c r="B589" s="170"/>
    </row>
    <row r="590" spans="1:2" x14ac:dyDescent="0.25">
      <c r="A590" s="170"/>
      <c r="B590" s="170"/>
    </row>
    <row r="591" spans="1:2" x14ac:dyDescent="0.25">
      <c r="A591" s="170"/>
      <c r="B591" s="170"/>
    </row>
    <row r="592" spans="1:2" x14ac:dyDescent="0.25">
      <c r="A592" s="170"/>
      <c r="B592" s="170"/>
    </row>
    <row r="593" spans="1:2" x14ac:dyDescent="0.25">
      <c r="A593" s="170"/>
      <c r="B593" s="170"/>
    </row>
    <row r="594" spans="1:2" x14ac:dyDescent="0.25">
      <c r="A594" s="170"/>
      <c r="B594" s="170"/>
    </row>
    <row r="595" spans="1:2" x14ac:dyDescent="0.25">
      <c r="A595" s="170"/>
      <c r="B595" s="170"/>
    </row>
    <row r="596" spans="1:2" x14ac:dyDescent="0.25">
      <c r="A596" s="170"/>
      <c r="B596" s="170"/>
    </row>
    <row r="597" spans="1:2" x14ac:dyDescent="0.25">
      <c r="A597" s="170"/>
      <c r="B597" s="170"/>
    </row>
    <row r="598" spans="1:2" x14ac:dyDescent="0.25">
      <c r="A598" s="170"/>
      <c r="B598" s="170"/>
    </row>
    <row r="599" spans="1:2" x14ac:dyDescent="0.25">
      <c r="A599" s="170"/>
      <c r="B599" s="170"/>
    </row>
    <row r="600" spans="1:2" x14ac:dyDescent="0.25">
      <c r="A600" s="170"/>
      <c r="B600" s="170"/>
    </row>
    <row r="601" spans="1:2" x14ac:dyDescent="0.25">
      <c r="A601" s="170"/>
      <c r="B601" s="170"/>
    </row>
    <row r="602" spans="1:2" x14ac:dyDescent="0.25">
      <c r="A602" s="170"/>
      <c r="B602" s="170"/>
    </row>
    <row r="603" spans="1:2" x14ac:dyDescent="0.25">
      <c r="A603" s="170"/>
      <c r="B603" s="170"/>
    </row>
    <row r="604" spans="1:2" x14ac:dyDescent="0.25">
      <c r="A604" s="170"/>
      <c r="B604" s="170"/>
    </row>
    <row r="605" spans="1:2" x14ac:dyDescent="0.25">
      <c r="A605" s="170"/>
      <c r="B605" s="170"/>
    </row>
    <row r="606" spans="1:2" x14ac:dyDescent="0.25">
      <c r="A606" s="170"/>
      <c r="B606" s="170"/>
    </row>
    <row r="607" spans="1:2" x14ac:dyDescent="0.25">
      <c r="A607" s="170"/>
      <c r="B607" s="170"/>
    </row>
    <row r="608" spans="1:2" x14ac:dyDescent="0.25">
      <c r="A608" s="170"/>
      <c r="B608" s="170"/>
    </row>
    <row r="609" spans="1:2" x14ac:dyDescent="0.25">
      <c r="A609" s="170"/>
      <c r="B609" s="170"/>
    </row>
    <row r="610" spans="1:2" x14ac:dyDescent="0.25">
      <c r="A610" s="170"/>
      <c r="B610" s="170"/>
    </row>
    <row r="611" spans="1:2" x14ac:dyDescent="0.25">
      <c r="A611" s="170"/>
      <c r="B611" s="170"/>
    </row>
    <row r="612" spans="1:2" x14ac:dyDescent="0.25">
      <c r="A612" s="170"/>
      <c r="B612" s="170"/>
    </row>
    <row r="613" spans="1:2" x14ac:dyDescent="0.25">
      <c r="A613" s="170"/>
      <c r="B613" s="170"/>
    </row>
    <row r="614" spans="1:2" x14ac:dyDescent="0.25">
      <c r="A614" s="170"/>
      <c r="B614" s="170"/>
    </row>
    <row r="615" spans="1:2" x14ac:dyDescent="0.25">
      <c r="A615" s="170"/>
      <c r="B615" s="170"/>
    </row>
    <row r="616" spans="1:2" x14ac:dyDescent="0.25">
      <c r="A616" s="170"/>
      <c r="B616" s="170"/>
    </row>
    <row r="617" spans="1:2" x14ac:dyDescent="0.25">
      <c r="A617" s="170"/>
      <c r="B617" s="170"/>
    </row>
    <row r="618" spans="1:2" x14ac:dyDescent="0.25">
      <c r="A618" s="170"/>
      <c r="B618" s="170"/>
    </row>
    <row r="619" spans="1:2" x14ac:dyDescent="0.25">
      <c r="A619" s="170"/>
      <c r="B619" s="170"/>
    </row>
    <row r="620" spans="1:2" x14ac:dyDescent="0.25">
      <c r="A620" s="170"/>
      <c r="B620" s="170"/>
    </row>
    <row r="621" spans="1:2" x14ac:dyDescent="0.25">
      <c r="A621" s="170"/>
      <c r="B621" s="170"/>
    </row>
    <row r="622" spans="1:2" x14ac:dyDescent="0.25">
      <c r="A622" s="170"/>
      <c r="B622" s="170"/>
    </row>
    <row r="623" spans="1:2" x14ac:dyDescent="0.25">
      <c r="A623" s="170"/>
      <c r="B623" s="170"/>
    </row>
    <row r="624" spans="1:2" x14ac:dyDescent="0.25">
      <c r="A624" s="170"/>
      <c r="B624" s="170"/>
    </row>
    <row r="625" spans="1:2" x14ac:dyDescent="0.25">
      <c r="A625" s="170"/>
      <c r="B625" s="170"/>
    </row>
    <row r="626" spans="1:2" x14ac:dyDescent="0.25">
      <c r="A626" s="170"/>
      <c r="B626" s="170"/>
    </row>
    <row r="627" spans="1:2" x14ac:dyDescent="0.25">
      <c r="A627" s="170"/>
      <c r="B627" s="170"/>
    </row>
    <row r="628" spans="1:2" x14ac:dyDescent="0.25">
      <c r="A628" s="170"/>
      <c r="B628" s="170"/>
    </row>
    <row r="629" spans="1:2" x14ac:dyDescent="0.25">
      <c r="A629" s="170"/>
      <c r="B629" s="170"/>
    </row>
    <row r="630" spans="1:2" x14ac:dyDescent="0.25">
      <c r="A630" s="170"/>
      <c r="B630" s="170"/>
    </row>
    <row r="631" spans="1:2" x14ac:dyDescent="0.25">
      <c r="A631" s="170"/>
      <c r="B631" s="170"/>
    </row>
    <row r="632" spans="1:2" x14ac:dyDescent="0.25">
      <c r="A632" s="170"/>
      <c r="B632" s="170"/>
    </row>
    <row r="633" spans="1:2" x14ac:dyDescent="0.25">
      <c r="A633" s="170"/>
      <c r="B633" s="170"/>
    </row>
    <row r="634" spans="1:2" x14ac:dyDescent="0.25">
      <c r="A634" s="170"/>
      <c r="B634" s="170"/>
    </row>
    <row r="635" spans="1:2" x14ac:dyDescent="0.25">
      <c r="A635" s="170"/>
      <c r="B635" s="170"/>
    </row>
    <row r="636" spans="1:2" x14ac:dyDescent="0.25">
      <c r="A636" s="170"/>
      <c r="B636" s="170"/>
    </row>
    <row r="637" spans="1:2" x14ac:dyDescent="0.25">
      <c r="A637" s="170"/>
      <c r="B637" s="170"/>
    </row>
    <row r="638" spans="1:2" x14ac:dyDescent="0.25">
      <c r="A638" s="170"/>
      <c r="B638" s="170"/>
    </row>
    <row r="639" spans="1:2" x14ac:dyDescent="0.25">
      <c r="A639" s="170"/>
      <c r="B639" s="170"/>
    </row>
    <row r="640" spans="1:2" x14ac:dyDescent="0.25">
      <c r="A640" s="170"/>
      <c r="B640" s="170"/>
    </row>
    <row r="641" spans="1:2" x14ac:dyDescent="0.25">
      <c r="A641" s="170"/>
      <c r="B641" s="170"/>
    </row>
    <row r="642" spans="1:2" x14ac:dyDescent="0.25">
      <c r="A642" s="170"/>
      <c r="B642" s="170"/>
    </row>
    <row r="643" spans="1:2" x14ac:dyDescent="0.25">
      <c r="A643" s="170"/>
      <c r="B643" s="170"/>
    </row>
    <row r="644" spans="1:2" x14ac:dyDescent="0.25">
      <c r="A644" s="170"/>
      <c r="B644" s="170"/>
    </row>
    <row r="645" spans="1:2" x14ac:dyDescent="0.25">
      <c r="A645" s="170"/>
      <c r="B645" s="170"/>
    </row>
    <row r="646" spans="1:2" x14ac:dyDescent="0.25">
      <c r="A646" s="170"/>
      <c r="B646" s="170"/>
    </row>
    <row r="647" spans="1:2" x14ac:dyDescent="0.25">
      <c r="A647" s="170"/>
      <c r="B647" s="170"/>
    </row>
    <row r="648" spans="1:2" x14ac:dyDescent="0.25">
      <c r="A648" s="170"/>
      <c r="B648" s="170"/>
    </row>
    <row r="649" spans="1:2" x14ac:dyDescent="0.25">
      <c r="A649" s="170"/>
      <c r="B649" s="170"/>
    </row>
    <row r="650" spans="1:2" x14ac:dyDescent="0.25">
      <c r="A650" s="170"/>
      <c r="B650" s="170"/>
    </row>
    <row r="651" spans="1:2" x14ac:dyDescent="0.25">
      <c r="A651" s="170"/>
      <c r="B651" s="170"/>
    </row>
    <row r="652" spans="1:2" x14ac:dyDescent="0.25">
      <c r="A652" s="170"/>
      <c r="B652" s="170"/>
    </row>
    <row r="653" spans="1:2" x14ac:dyDescent="0.25">
      <c r="A653" s="170"/>
      <c r="B653" s="170"/>
    </row>
    <row r="654" spans="1:2" x14ac:dyDescent="0.25">
      <c r="A654" s="170"/>
      <c r="B654" s="170"/>
    </row>
    <row r="655" spans="1:2" x14ac:dyDescent="0.25">
      <c r="A655" s="170"/>
      <c r="B655" s="170"/>
    </row>
    <row r="656" spans="1:2" x14ac:dyDescent="0.25">
      <c r="A656" s="170"/>
      <c r="B656" s="170"/>
    </row>
    <row r="657" spans="1:2" x14ac:dyDescent="0.25">
      <c r="A657" s="170"/>
      <c r="B657" s="170"/>
    </row>
    <row r="658" spans="1:2" x14ac:dyDescent="0.25">
      <c r="A658" s="170"/>
      <c r="B658" s="170"/>
    </row>
    <row r="659" spans="1:2" x14ac:dyDescent="0.25">
      <c r="A659" s="170"/>
      <c r="B659" s="170"/>
    </row>
    <row r="660" spans="1:2" x14ac:dyDescent="0.25">
      <c r="A660" s="170"/>
      <c r="B660" s="170"/>
    </row>
    <row r="661" spans="1:2" x14ac:dyDescent="0.25">
      <c r="A661" s="170"/>
      <c r="B661" s="170"/>
    </row>
    <row r="662" spans="1:2" x14ac:dyDescent="0.25">
      <c r="A662" s="170"/>
      <c r="B662" s="170"/>
    </row>
    <row r="663" spans="1:2" x14ac:dyDescent="0.25">
      <c r="A663" s="170"/>
      <c r="B663" s="170"/>
    </row>
    <row r="664" spans="1:2" x14ac:dyDescent="0.25">
      <c r="A664" s="170"/>
      <c r="B664" s="170"/>
    </row>
    <row r="665" spans="1:2" x14ac:dyDescent="0.25">
      <c r="A665" s="170"/>
      <c r="B665" s="170"/>
    </row>
    <row r="666" spans="1:2" x14ac:dyDescent="0.25">
      <c r="A666" s="170"/>
      <c r="B666" s="170"/>
    </row>
    <row r="667" spans="1:2" x14ac:dyDescent="0.25">
      <c r="A667" s="170"/>
      <c r="B667" s="170"/>
    </row>
    <row r="668" spans="1:2" x14ac:dyDescent="0.25">
      <c r="A668" s="170"/>
      <c r="B668" s="170"/>
    </row>
    <row r="669" spans="1:2" x14ac:dyDescent="0.25">
      <c r="A669" s="170"/>
      <c r="B669" s="170"/>
    </row>
    <row r="670" spans="1:2" x14ac:dyDescent="0.25">
      <c r="A670" s="170"/>
      <c r="B670" s="170"/>
    </row>
    <row r="671" spans="1:2" x14ac:dyDescent="0.25">
      <c r="A671" s="170"/>
      <c r="B671" s="170"/>
    </row>
    <row r="672" spans="1:2" x14ac:dyDescent="0.25">
      <c r="A672" s="170"/>
      <c r="B672" s="170"/>
    </row>
    <row r="673" spans="1:2" x14ac:dyDescent="0.25">
      <c r="A673" s="170"/>
      <c r="B673" s="170"/>
    </row>
    <row r="674" spans="1:2" x14ac:dyDescent="0.25">
      <c r="A674" s="170"/>
      <c r="B674" s="170"/>
    </row>
    <row r="675" spans="1:2" x14ac:dyDescent="0.25">
      <c r="A675" s="170"/>
      <c r="B675" s="170"/>
    </row>
    <row r="676" spans="1:2" x14ac:dyDescent="0.25">
      <c r="A676" s="170"/>
      <c r="B676" s="170"/>
    </row>
    <row r="677" spans="1:2" x14ac:dyDescent="0.25">
      <c r="A677" s="170"/>
      <c r="B677" s="170"/>
    </row>
    <row r="678" spans="1:2" x14ac:dyDescent="0.25">
      <c r="A678" s="170"/>
      <c r="B678" s="170"/>
    </row>
    <row r="679" spans="1:2" x14ac:dyDescent="0.25">
      <c r="A679" s="170"/>
      <c r="B679" s="170"/>
    </row>
    <row r="680" spans="1:2" x14ac:dyDescent="0.25">
      <c r="A680" s="170"/>
      <c r="B680" s="170"/>
    </row>
    <row r="681" spans="1:2" x14ac:dyDescent="0.25">
      <c r="A681" s="170"/>
      <c r="B681" s="170"/>
    </row>
    <row r="682" spans="1:2" x14ac:dyDescent="0.25">
      <c r="A682" s="170"/>
      <c r="B682" s="170"/>
    </row>
    <row r="683" spans="1:2" x14ac:dyDescent="0.25">
      <c r="A683" s="170"/>
      <c r="B683" s="170"/>
    </row>
    <row r="684" spans="1:2" x14ac:dyDescent="0.25">
      <c r="A684" s="170"/>
      <c r="B684" s="170"/>
    </row>
    <row r="685" spans="1:2" x14ac:dyDescent="0.25">
      <c r="A685" s="170"/>
      <c r="B685" s="170"/>
    </row>
    <row r="686" spans="1:2" x14ac:dyDescent="0.25">
      <c r="A686" s="170"/>
      <c r="B686" s="170"/>
    </row>
    <row r="687" spans="1:2" x14ac:dyDescent="0.25">
      <c r="A687" s="170"/>
      <c r="B687" s="170"/>
    </row>
    <row r="688" spans="1:2" x14ac:dyDescent="0.25">
      <c r="A688" s="170"/>
      <c r="B688" s="170"/>
    </row>
    <row r="689" spans="1:2" x14ac:dyDescent="0.25">
      <c r="A689" s="170"/>
      <c r="B689" s="170"/>
    </row>
    <row r="690" spans="1:2" x14ac:dyDescent="0.25">
      <c r="A690" s="170"/>
      <c r="B690" s="170"/>
    </row>
    <row r="691" spans="1:2" x14ac:dyDescent="0.25">
      <c r="A691" s="170"/>
      <c r="B691" s="170"/>
    </row>
    <row r="692" spans="1:2" x14ac:dyDescent="0.25">
      <c r="A692" s="170"/>
      <c r="B692" s="170"/>
    </row>
    <row r="693" spans="1:2" x14ac:dyDescent="0.25">
      <c r="A693" s="170"/>
      <c r="B693" s="170"/>
    </row>
    <row r="694" spans="1:2" x14ac:dyDescent="0.25">
      <c r="A694" s="170"/>
      <c r="B694" s="170"/>
    </row>
    <row r="695" spans="1:2" x14ac:dyDescent="0.25">
      <c r="A695" s="170"/>
      <c r="B695" s="170"/>
    </row>
    <row r="696" spans="1:2" x14ac:dyDescent="0.25">
      <c r="A696" s="170"/>
      <c r="B696" s="170"/>
    </row>
    <row r="697" spans="1:2" x14ac:dyDescent="0.25">
      <c r="A697" s="170"/>
      <c r="B697" s="170"/>
    </row>
    <row r="698" spans="1:2" x14ac:dyDescent="0.25">
      <c r="A698" s="170"/>
      <c r="B698" s="170"/>
    </row>
    <row r="699" spans="1:2" x14ac:dyDescent="0.25">
      <c r="A699" s="170"/>
      <c r="B699" s="170"/>
    </row>
    <row r="700" spans="1:2" x14ac:dyDescent="0.25">
      <c r="A700" s="170"/>
      <c r="B700" s="170"/>
    </row>
    <row r="701" spans="1:2" x14ac:dyDescent="0.25">
      <c r="A701" s="170"/>
      <c r="B701" s="170"/>
    </row>
    <row r="702" spans="1:2" x14ac:dyDescent="0.25">
      <c r="A702" s="170"/>
      <c r="B702" s="170"/>
    </row>
    <row r="703" spans="1:2" x14ac:dyDescent="0.25">
      <c r="A703" s="170"/>
      <c r="B703" s="170"/>
    </row>
    <row r="704" spans="1:2" x14ac:dyDescent="0.25">
      <c r="A704" s="170"/>
      <c r="B704" s="170"/>
    </row>
    <row r="705" spans="1:2" x14ac:dyDescent="0.25">
      <c r="A705" s="170"/>
      <c r="B705" s="170"/>
    </row>
    <row r="706" spans="1:2" x14ac:dyDescent="0.25">
      <c r="A706" s="170"/>
      <c r="B706" s="170"/>
    </row>
    <row r="707" spans="1:2" x14ac:dyDescent="0.25">
      <c r="A707" s="170"/>
      <c r="B707" s="170"/>
    </row>
    <row r="708" spans="1:2" x14ac:dyDescent="0.25">
      <c r="A708" s="170"/>
      <c r="B708" s="170"/>
    </row>
    <row r="709" spans="1:2" x14ac:dyDescent="0.25">
      <c r="A709" s="170"/>
      <c r="B709" s="170"/>
    </row>
    <row r="710" spans="1:2" x14ac:dyDescent="0.25">
      <c r="A710" s="170"/>
      <c r="B710" s="170"/>
    </row>
    <row r="711" spans="1:2" x14ac:dyDescent="0.25">
      <c r="A711" s="170"/>
      <c r="B711" s="170"/>
    </row>
    <row r="712" spans="1:2" x14ac:dyDescent="0.25">
      <c r="A712" s="170"/>
      <c r="B712" s="170"/>
    </row>
    <row r="713" spans="1:2" x14ac:dyDescent="0.25">
      <c r="A713" s="170"/>
      <c r="B713" s="170"/>
    </row>
    <row r="714" spans="1:2" x14ac:dyDescent="0.25">
      <c r="A714" s="170"/>
      <c r="B714" s="170"/>
    </row>
    <row r="715" spans="1:2" x14ac:dyDescent="0.25">
      <c r="A715" s="170"/>
      <c r="B715" s="170"/>
    </row>
    <row r="716" spans="1:2" x14ac:dyDescent="0.25">
      <c r="A716" s="170"/>
      <c r="B716" s="170"/>
    </row>
    <row r="717" spans="1:2" x14ac:dyDescent="0.25">
      <c r="A717" s="170"/>
      <c r="B717" s="170"/>
    </row>
    <row r="718" spans="1:2" x14ac:dyDescent="0.25">
      <c r="A718" s="170"/>
      <c r="B718" s="170"/>
    </row>
    <row r="719" spans="1:2" x14ac:dyDescent="0.25">
      <c r="A719" s="170"/>
      <c r="B719" s="170"/>
    </row>
    <row r="720" spans="1:2" x14ac:dyDescent="0.25">
      <c r="A720" s="170"/>
      <c r="B720" s="170"/>
    </row>
    <row r="721" spans="1:2" x14ac:dyDescent="0.25">
      <c r="A721" s="170"/>
      <c r="B721" s="170"/>
    </row>
    <row r="722" spans="1:2" x14ac:dyDescent="0.25">
      <c r="A722" s="170"/>
      <c r="B722" s="170"/>
    </row>
    <row r="723" spans="1:2" x14ac:dyDescent="0.25">
      <c r="A723" s="170"/>
      <c r="B723" s="170"/>
    </row>
    <row r="724" spans="1:2" x14ac:dyDescent="0.25">
      <c r="A724" s="170"/>
      <c r="B724" s="170"/>
    </row>
    <row r="725" spans="1:2" x14ac:dyDescent="0.25">
      <c r="A725" s="170"/>
      <c r="B725" s="170"/>
    </row>
    <row r="726" spans="1:2" x14ac:dyDescent="0.25">
      <c r="A726" s="170"/>
      <c r="B726" s="170"/>
    </row>
    <row r="727" spans="1:2" x14ac:dyDescent="0.25">
      <c r="A727" s="170"/>
      <c r="B727" s="170"/>
    </row>
    <row r="728" spans="1:2" x14ac:dyDescent="0.25">
      <c r="A728" s="170"/>
      <c r="B728" s="170"/>
    </row>
    <row r="729" spans="1:2" x14ac:dyDescent="0.25">
      <c r="A729" s="170"/>
      <c r="B729" s="170"/>
    </row>
    <row r="730" spans="1:2" x14ac:dyDescent="0.25">
      <c r="A730" s="170"/>
      <c r="B730" s="170"/>
    </row>
    <row r="731" spans="1:2" x14ac:dyDescent="0.25">
      <c r="A731" s="170"/>
      <c r="B731" s="170"/>
    </row>
    <row r="732" spans="1:2" x14ac:dyDescent="0.25">
      <c r="A732" s="170"/>
      <c r="B732" s="170"/>
    </row>
    <row r="733" spans="1:2" x14ac:dyDescent="0.25">
      <c r="A733" s="170"/>
      <c r="B733" s="170"/>
    </row>
    <row r="734" spans="1:2" x14ac:dyDescent="0.25">
      <c r="A734" s="170"/>
      <c r="B734" s="170"/>
    </row>
    <row r="735" spans="1:2" x14ac:dyDescent="0.25">
      <c r="A735" s="170"/>
      <c r="B735" s="170"/>
    </row>
    <row r="736" spans="1:2" x14ac:dyDescent="0.25">
      <c r="A736" s="170"/>
      <c r="B736" s="170"/>
    </row>
    <row r="737" spans="1:2" x14ac:dyDescent="0.25">
      <c r="A737" s="170"/>
      <c r="B737" s="170"/>
    </row>
    <row r="738" spans="1:2" x14ac:dyDescent="0.25">
      <c r="A738" s="170"/>
      <c r="B738" s="170"/>
    </row>
    <row r="739" spans="1:2" x14ac:dyDescent="0.25">
      <c r="A739" s="170"/>
      <c r="B739" s="170"/>
    </row>
    <row r="740" spans="1:2" x14ac:dyDescent="0.25">
      <c r="A740" s="170"/>
      <c r="B740" s="170"/>
    </row>
    <row r="741" spans="1:2" x14ac:dyDescent="0.25">
      <c r="A741" s="170"/>
      <c r="B741" s="170"/>
    </row>
    <row r="742" spans="1:2" x14ac:dyDescent="0.25">
      <c r="A742" s="170"/>
      <c r="B742" s="170"/>
    </row>
    <row r="743" spans="1:2" x14ac:dyDescent="0.25">
      <c r="A743" s="170"/>
      <c r="B743" s="170"/>
    </row>
    <row r="744" spans="1:2" x14ac:dyDescent="0.25">
      <c r="A744" s="170"/>
      <c r="B744" s="170"/>
    </row>
    <row r="745" spans="1:2" x14ac:dyDescent="0.25">
      <c r="A745" s="170"/>
      <c r="B745" s="170"/>
    </row>
    <row r="746" spans="1:2" x14ac:dyDescent="0.25">
      <c r="A746" s="170"/>
      <c r="B746" s="170"/>
    </row>
    <row r="747" spans="1:2" x14ac:dyDescent="0.25">
      <c r="A747" s="170"/>
      <c r="B747" s="170"/>
    </row>
    <row r="748" spans="1:2" x14ac:dyDescent="0.25">
      <c r="A748" s="170"/>
      <c r="B748" s="170"/>
    </row>
    <row r="749" spans="1:2" x14ac:dyDescent="0.25">
      <c r="A749" s="170"/>
      <c r="B749" s="170"/>
    </row>
    <row r="750" spans="1:2" x14ac:dyDescent="0.25">
      <c r="A750" s="170"/>
      <c r="B750" s="170"/>
    </row>
    <row r="751" spans="1:2" x14ac:dyDescent="0.25">
      <c r="A751" s="170"/>
      <c r="B751" s="170"/>
    </row>
    <row r="752" spans="1:2" x14ac:dyDescent="0.25">
      <c r="A752" s="170"/>
      <c r="B752" s="170"/>
    </row>
    <row r="753" spans="1:2" x14ac:dyDescent="0.25">
      <c r="A753" s="170"/>
      <c r="B753" s="170"/>
    </row>
    <row r="754" spans="1:2" x14ac:dyDescent="0.25">
      <c r="A754" s="170"/>
      <c r="B754" s="170"/>
    </row>
    <row r="755" spans="1:2" x14ac:dyDescent="0.25">
      <c r="A755" s="170"/>
      <c r="B755" s="170"/>
    </row>
    <row r="756" spans="1:2" x14ac:dyDescent="0.25">
      <c r="A756" s="170"/>
      <c r="B756" s="170"/>
    </row>
    <row r="757" spans="1:2" x14ac:dyDescent="0.25">
      <c r="A757" s="170"/>
      <c r="B757" s="170"/>
    </row>
    <row r="758" spans="1:2" x14ac:dyDescent="0.25">
      <c r="A758" s="170"/>
      <c r="B758" s="170"/>
    </row>
    <row r="759" spans="1:2" x14ac:dyDescent="0.25">
      <c r="A759" s="170"/>
      <c r="B759" s="170"/>
    </row>
    <row r="760" spans="1:2" x14ac:dyDescent="0.25">
      <c r="A760" s="170"/>
      <c r="B760" s="170"/>
    </row>
    <row r="761" spans="1:2" x14ac:dyDescent="0.25">
      <c r="A761" s="170"/>
      <c r="B761" s="170"/>
    </row>
    <row r="762" spans="1:2" x14ac:dyDescent="0.25">
      <c r="A762" s="170"/>
      <c r="B762" s="170"/>
    </row>
    <row r="763" spans="1:2" x14ac:dyDescent="0.25">
      <c r="A763" s="170"/>
      <c r="B763" s="170"/>
    </row>
    <row r="764" spans="1:2" x14ac:dyDescent="0.25">
      <c r="A764" s="170"/>
      <c r="B764" s="170"/>
    </row>
    <row r="765" spans="1:2" x14ac:dyDescent="0.25">
      <c r="A765" s="170"/>
      <c r="B765" s="170"/>
    </row>
    <row r="766" spans="1:2" x14ac:dyDescent="0.25">
      <c r="A766" s="170"/>
      <c r="B766" s="170"/>
    </row>
    <row r="767" spans="1:2" x14ac:dyDescent="0.25">
      <c r="A767" s="170"/>
      <c r="B767" s="170"/>
    </row>
    <row r="768" spans="1:2" x14ac:dyDescent="0.25">
      <c r="A768" s="170"/>
      <c r="B768" s="170"/>
    </row>
    <row r="769" spans="1:2" x14ac:dyDescent="0.25">
      <c r="A769" s="170"/>
      <c r="B769" s="170"/>
    </row>
    <row r="770" spans="1:2" x14ac:dyDescent="0.25">
      <c r="A770" s="170"/>
      <c r="B770" s="170"/>
    </row>
    <row r="771" spans="1:2" x14ac:dyDescent="0.25">
      <c r="A771" s="170"/>
      <c r="B771" s="170"/>
    </row>
    <row r="772" spans="1:2" x14ac:dyDescent="0.25">
      <c r="A772" s="170"/>
      <c r="B772" s="170"/>
    </row>
    <row r="773" spans="1:2" x14ac:dyDescent="0.25">
      <c r="A773" s="170"/>
      <c r="B773" s="170"/>
    </row>
    <row r="774" spans="1:2" x14ac:dyDescent="0.25">
      <c r="A774" s="170"/>
      <c r="B774" s="170"/>
    </row>
    <row r="775" spans="1:2" x14ac:dyDescent="0.25">
      <c r="A775" s="170"/>
      <c r="B775" s="170"/>
    </row>
    <row r="776" spans="1:2" x14ac:dyDescent="0.25">
      <c r="A776" s="170"/>
      <c r="B776" s="170"/>
    </row>
    <row r="777" spans="1:2" x14ac:dyDescent="0.25">
      <c r="A777" s="170"/>
      <c r="B777" s="170"/>
    </row>
    <row r="778" spans="1:2" x14ac:dyDescent="0.25">
      <c r="A778" s="170"/>
      <c r="B778" s="170"/>
    </row>
    <row r="779" spans="1:2" x14ac:dyDescent="0.25">
      <c r="A779" s="170"/>
      <c r="B779" s="170"/>
    </row>
    <row r="780" spans="1:2" x14ac:dyDescent="0.25">
      <c r="A780" s="170"/>
      <c r="B780" s="170"/>
    </row>
    <row r="781" spans="1:2" x14ac:dyDescent="0.25">
      <c r="A781" s="170"/>
      <c r="B781" s="170"/>
    </row>
    <row r="782" spans="1:2" x14ac:dyDescent="0.25">
      <c r="A782" s="170"/>
      <c r="B782" s="170"/>
    </row>
    <row r="783" spans="1:2" x14ac:dyDescent="0.25">
      <c r="A783" s="170"/>
      <c r="B783" s="170"/>
    </row>
    <row r="784" spans="1:2" x14ac:dyDescent="0.25">
      <c r="A784" s="170"/>
      <c r="B784" s="170"/>
    </row>
    <row r="785" spans="1:2" x14ac:dyDescent="0.25">
      <c r="A785" s="170"/>
      <c r="B785" s="170"/>
    </row>
    <row r="786" spans="1:2" x14ac:dyDescent="0.25">
      <c r="A786" s="170"/>
      <c r="B786" s="170"/>
    </row>
    <row r="787" spans="1:2" x14ac:dyDescent="0.25">
      <c r="A787" s="170"/>
      <c r="B787" s="170"/>
    </row>
    <row r="788" spans="1:2" x14ac:dyDescent="0.25">
      <c r="A788" s="170"/>
      <c r="B788" s="170"/>
    </row>
    <row r="789" spans="1:2" x14ac:dyDescent="0.25">
      <c r="A789" s="170"/>
      <c r="B789" s="170"/>
    </row>
    <row r="790" spans="1:2" x14ac:dyDescent="0.25">
      <c r="A790" s="170"/>
      <c r="B790" s="170"/>
    </row>
    <row r="791" spans="1:2" x14ac:dyDescent="0.25">
      <c r="A791" s="170"/>
      <c r="B791" s="170"/>
    </row>
    <row r="792" spans="1:2" x14ac:dyDescent="0.25">
      <c r="A792" s="170"/>
      <c r="B792" s="170"/>
    </row>
    <row r="793" spans="1:2" x14ac:dyDescent="0.25">
      <c r="A793" s="170"/>
      <c r="B793" s="170"/>
    </row>
    <row r="794" spans="1:2" x14ac:dyDescent="0.25">
      <c r="A794" s="170"/>
      <c r="B794" s="170"/>
    </row>
    <row r="795" spans="1:2" x14ac:dyDescent="0.25">
      <c r="A795" s="170"/>
      <c r="B795" s="170"/>
    </row>
    <row r="796" spans="1:2" x14ac:dyDescent="0.25">
      <c r="A796" s="170"/>
      <c r="B796" s="170"/>
    </row>
    <row r="797" spans="1:2" x14ac:dyDescent="0.25">
      <c r="A797" s="170"/>
      <c r="B797" s="170"/>
    </row>
    <row r="798" spans="1:2" x14ac:dyDescent="0.25">
      <c r="A798" s="170"/>
      <c r="B798" s="170"/>
    </row>
    <row r="799" spans="1:2" x14ac:dyDescent="0.25">
      <c r="A799" s="170"/>
      <c r="B799" s="170"/>
    </row>
    <row r="800" spans="1:2" x14ac:dyDescent="0.25">
      <c r="A800" s="170"/>
      <c r="B800" s="170"/>
    </row>
    <row r="801" spans="1:2" x14ac:dyDescent="0.25">
      <c r="A801" s="170"/>
      <c r="B801" s="170"/>
    </row>
    <row r="802" spans="1:2" x14ac:dyDescent="0.25">
      <c r="A802" s="170"/>
      <c r="B802" s="170"/>
    </row>
    <row r="803" spans="1:2" x14ac:dyDescent="0.25">
      <c r="A803" s="170"/>
      <c r="B803" s="170"/>
    </row>
    <row r="804" spans="1:2" x14ac:dyDescent="0.25">
      <c r="A804" s="170"/>
      <c r="B804" s="170"/>
    </row>
    <row r="805" spans="1:2" x14ac:dyDescent="0.25">
      <c r="A805" s="170"/>
      <c r="B805" s="170"/>
    </row>
    <row r="806" spans="1:2" x14ac:dyDescent="0.25">
      <c r="A806" s="170"/>
      <c r="B806" s="170"/>
    </row>
    <row r="807" spans="1:2" x14ac:dyDescent="0.25">
      <c r="A807" s="170"/>
      <c r="B807" s="170"/>
    </row>
    <row r="808" spans="1:2" x14ac:dyDescent="0.25">
      <c r="A808" s="170"/>
      <c r="B808" s="170"/>
    </row>
    <row r="809" spans="1:2" x14ac:dyDescent="0.25">
      <c r="A809" s="170"/>
      <c r="B809" s="170"/>
    </row>
    <row r="810" spans="1:2" x14ac:dyDescent="0.25">
      <c r="A810" s="170"/>
      <c r="B810" s="170"/>
    </row>
    <row r="811" spans="1:2" x14ac:dyDescent="0.25">
      <c r="A811" s="170"/>
      <c r="B811" s="170"/>
    </row>
    <row r="812" spans="1:2" x14ac:dyDescent="0.25">
      <c r="A812" s="170"/>
      <c r="B812" s="170"/>
    </row>
    <row r="813" spans="1:2" x14ac:dyDescent="0.25">
      <c r="A813" s="170"/>
      <c r="B813" s="170"/>
    </row>
    <row r="814" spans="1:2" x14ac:dyDescent="0.25">
      <c r="A814" s="170"/>
      <c r="B814" s="170"/>
    </row>
    <row r="815" spans="1:2" x14ac:dyDescent="0.25">
      <c r="A815" s="170"/>
      <c r="B815" s="170"/>
    </row>
    <row r="816" spans="1:2" x14ac:dyDescent="0.25">
      <c r="A816" s="170"/>
      <c r="B816" s="170"/>
    </row>
    <row r="817" spans="1:2" x14ac:dyDescent="0.25">
      <c r="A817" s="170"/>
      <c r="B817" s="170"/>
    </row>
    <row r="818" spans="1:2" x14ac:dyDescent="0.25">
      <c r="A818" s="170"/>
      <c r="B818" s="170"/>
    </row>
    <row r="819" spans="1:2" x14ac:dyDescent="0.25">
      <c r="A819" s="170"/>
      <c r="B819" s="170"/>
    </row>
    <row r="820" spans="1:2" x14ac:dyDescent="0.25">
      <c r="A820" s="170"/>
      <c r="B820" s="170"/>
    </row>
    <row r="821" spans="1:2" x14ac:dyDescent="0.25">
      <c r="A821" s="170"/>
      <c r="B821" s="170"/>
    </row>
    <row r="822" spans="1:2" x14ac:dyDescent="0.25">
      <c r="A822" s="170"/>
      <c r="B822" s="170"/>
    </row>
    <row r="823" spans="1:2" x14ac:dyDescent="0.25">
      <c r="A823" s="170"/>
      <c r="B823" s="170"/>
    </row>
    <row r="824" spans="1:2" x14ac:dyDescent="0.25">
      <c r="A824" s="170"/>
      <c r="B824" s="170"/>
    </row>
    <row r="825" spans="1:2" x14ac:dyDescent="0.25">
      <c r="A825" s="170"/>
      <c r="B825" s="170"/>
    </row>
    <row r="826" spans="1:2" x14ac:dyDescent="0.25">
      <c r="A826" s="170"/>
      <c r="B826" s="170"/>
    </row>
    <row r="827" spans="1:2" x14ac:dyDescent="0.25">
      <c r="A827" s="170"/>
      <c r="B827" s="170"/>
    </row>
    <row r="828" spans="1:2" x14ac:dyDescent="0.25">
      <c r="A828" s="170"/>
      <c r="B828" s="170"/>
    </row>
    <row r="829" spans="1:2" x14ac:dyDescent="0.25">
      <c r="A829" s="170"/>
      <c r="B829" s="170"/>
    </row>
    <row r="830" spans="1:2" x14ac:dyDescent="0.25">
      <c r="A830" s="170"/>
      <c r="B830" s="170"/>
    </row>
    <row r="831" spans="1:2" x14ac:dyDescent="0.25">
      <c r="A831" s="170"/>
      <c r="B831" s="170"/>
    </row>
    <row r="832" spans="1:2" x14ac:dyDescent="0.25">
      <c r="A832" s="170"/>
      <c r="B832" s="170"/>
    </row>
    <row r="833" spans="1:2" x14ac:dyDescent="0.25">
      <c r="A833" s="170"/>
      <c r="B833" s="170"/>
    </row>
    <row r="834" spans="1:2" x14ac:dyDescent="0.25">
      <c r="A834" s="170"/>
      <c r="B834" s="170"/>
    </row>
    <row r="835" spans="1:2" x14ac:dyDescent="0.25">
      <c r="A835" s="170"/>
      <c r="B835" s="170"/>
    </row>
    <row r="836" spans="1:2" x14ac:dyDescent="0.25">
      <c r="A836" s="170"/>
      <c r="B836" s="170"/>
    </row>
    <row r="837" spans="1:2" x14ac:dyDescent="0.25">
      <c r="A837" s="170"/>
      <c r="B837" s="170"/>
    </row>
    <row r="838" spans="1:2" x14ac:dyDescent="0.25">
      <c r="A838" s="170"/>
      <c r="B838" s="170"/>
    </row>
    <row r="839" spans="1:2" x14ac:dyDescent="0.25">
      <c r="A839" s="170"/>
      <c r="B839" s="170"/>
    </row>
    <row r="840" spans="1:2" x14ac:dyDescent="0.25">
      <c r="A840" s="170"/>
      <c r="B840" s="170"/>
    </row>
    <row r="841" spans="1:2" x14ac:dyDescent="0.25">
      <c r="A841" s="170"/>
      <c r="B841" s="170"/>
    </row>
    <row r="842" spans="1:2" x14ac:dyDescent="0.25">
      <c r="A842" s="170"/>
      <c r="B842" s="170"/>
    </row>
    <row r="843" spans="1:2" x14ac:dyDescent="0.25">
      <c r="A843" s="170"/>
      <c r="B843" s="170"/>
    </row>
    <row r="844" spans="1:2" x14ac:dyDescent="0.25">
      <c r="A844" s="170"/>
      <c r="B844" s="170"/>
    </row>
    <row r="845" spans="1:2" x14ac:dyDescent="0.25">
      <c r="A845" s="170"/>
      <c r="B845" s="170"/>
    </row>
    <row r="846" spans="1:2" x14ac:dyDescent="0.25">
      <c r="A846" s="170"/>
      <c r="B846" s="170"/>
    </row>
    <row r="847" spans="1:2" x14ac:dyDescent="0.25">
      <c r="A847" s="170"/>
      <c r="B847" s="170"/>
    </row>
    <row r="848" spans="1:2" x14ac:dyDescent="0.25">
      <c r="A848" s="170"/>
      <c r="B848" s="170"/>
    </row>
    <row r="849" spans="1:2" x14ac:dyDescent="0.25">
      <c r="A849" s="170"/>
      <c r="B849" s="170"/>
    </row>
    <row r="850" spans="1:2" x14ac:dyDescent="0.25">
      <c r="A850" s="170"/>
      <c r="B850" s="170"/>
    </row>
    <row r="851" spans="1:2" x14ac:dyDescent="0.25">
      <c r="A851" s="170"/>
      <c r="B851" s="170"/>
    </row>
    <row r="852" spans="1:2" x14ac:dyDescent="0.25">
      <c r="A852" s="170"/>
      <c r="B852" s="170"/>
    </row>
    <row r="853" spans="1:2" x14ac:dyDescent="0.25">
      <c r="A853" s="170"/>
      <c r="B853" s="170"/>
    </row>
    <row r="854" spans="1:2" x14ac:dyDescent="0.25">
      <c r="A854" s="170"/>
      <c r="B854" s="170"/>
    </row>
    <row r="855" spans="1:2" x14ac:dyDescent="0.25">
      <c r="A855" s="170"/>
      <c r="B855" s="170"/>
    </row>
    <row r="856" spans="1:2" x14ac:dyDescent="0.25">
      <c r="A856" s="170"/>
      <c r="B856" s="170"/>
    </row>
    <row r="857" spans="1:2" x14ac:dyDescent="0.25">
      <c r="A857" s="170"/>
      <c r="B857" s="170"/>
    </row>
    <row r="858" spans="1:2" x14ac:dyDescent="0.25">
      <c r="A858" s="170"/>
      <c r="B858" s="170"/>
    </row>
    <row r="859" spans="1:2" x14ac:dyDescent="0.25">
      <c r="A859" s="170"/>
      <c r="B859" s="170"/>
    </row>
    <row r="860" spans="1:2" x14ac:dyDescent="0.25">
      <c r="A860" s="170"/>
      <c r="B860" s="170"/>
    </row>
    <row r="861" spans="1:2" x14ac:dyDescent="0.25">
      <c r="A861" s="170"/>
      <c r="B861" s="170"/>
    </row>
    <row r="862" spans="1:2" x14ac:dyDescent="0.25">
      <c r="A862" s="170"/>
      <c r="B862" s="170"/>
    </row>
    <row r="863" spans="1:2" x14ac:dyDescent="0.25">
      <c r="A863" s="170"/>
      <c r="B863" s="170"/>
    </row>
    <row r="864" spans="1:2" x14ac:dyDescent="0.25">
      <c r="A864" s="170"/>
      <c r="B864" s="170"/>
    </row>
    <row r="865" spans="1:2" x14ac:dyDescent="0.25">
      <c r="A865" s="170"/>
      <c r="B865" s="170"/>
    </row>
    <row r="866" spans="1:2" x14ac:dyDescent="0.25">
      <c r="A866" s="170"/>
      <c r="B866" s="170"/>
    </row>
    <row r="867" spans="1:2" x14ac:dyDescent="0.25">
      <c r="A867" s="170"/>
      <c r="B867" s="170"/>
    </row>
    <row r="868" spans="1:2" x14ac:dyDescent="0.25">
      <c r="A868" s="170"/>
      <c r="B868" s="170"/>
    </row>
    <row r="869" spans="1:2" x14ac:dyDescent="0.25">
      <c r="A869" s="170"/>
      <c r="B869" s="170"/>
    </row>
    <row r="870" spans="1:2" x14ac:dyDescent="0.25">
      <c r="A870" s="170"/>
      <c r="B870" s="170"/>
    </row>
    <row r="871" spans="1:2" x14ac:dyDescent="0.25">
      <c r="A871" s="170"/>
      <c r="B871" s="170"/>
    </row>
    <row r="872" spans="1:2" x14ac:dyDescent="0.25">
      <c r="A872" s="170"/>
      <c r="B872" s="170"/>
    </row>
    <row r="873" spans="1:2" x14ac:dyDescent="0.25">
      <c r="A873" s="170"/>
      <c r="B873" s="170"/>
    </row>
    <row r="874" spans="1:2" x14ac:dyDescent="0.25">
      <c r="A874" s="170"/>
      <c r="B874" s="170"/>
    </row>
    <row r="875" spans="1:2" x14ac:dyDescent="0.25">
      <c r="A875" s="170"/>
      <c r="B875" s="170"/>
    </row>
    <row r="876" spans="1:2" x14ac:dyDescent="0.25">
      <c r="A876" s="170"/>
      <c r="B876" s="170"/>
    </row>
    <row r="877" spans="1:2" x14ac:dyDescent="0.25">
      <c r="A877" s="170"/>
      <c r="B877" s="170"/>
    </row>
    <row r="878" spans="1:2" x14ac:dyDescent="0.25">
      <c r="A878" s="170"/>
      <c r="B878" s="170"/>
    </row>
    <row r="879" spans="1:2" x14ac:dyDescent="0.25">
      <c r="A879" s="170"/>
      <c r="B879" s="170"/>
    </row>
    <row r="880" spans="1:2" x14ac:dyDescent="0.25">
      <c r="A880" s="170"/>
      <c r="B880" s="170"/>
    </row>
    <row r="881" spans="1:2" x14ac:dyDescent="0.25">
      <c r="A881" s="170"/>
      <c r="B881" s="170"/>
    </row>
    <row r="882" spans="1:2" x14ac:dyDescent="0.25">
      <c r="A882" s="170"/>
      <c r="B882" s="170"/>
    </row>
    <row r="883" spans="1:2" x14ac:dyDescent="0.25">
      <c r="A883" s="170"/>
      <c r="B883" s="170"/>
    </row>
    <row r="884" spans="1:2" x14ac:dyDescent="0.25">
      <c r="A884" s="170"/>
      <c r="B884" s="170"/>
    </row>
    <row r="885" spans="1:2" x14ac:dyDescent="0.25">
      <c r="A885" s="170"/>
      <c r="B885" s="170"/>
    </row>
    <row r="886" spans="1:2" x14ac:dyDescent="0.25">
      <c r="A886" s="170"/>
      <c r="B886" s="170"/>
    </row>
    <row r="887" spans="1:2" x14ac:dyDescent="0.25">
      <c r="A887" s="170"/>
      <c r="B887" s="170"/>
    </row>
    <row r="888" spans="1:2" x14ac:dyDescent="0.25">
      <c r="A888" s="170"/>
      <c r="B888" s="170"/>
    </row>
    <row r="889" spans="1:2" x14ac:dyDescent="0.25">
      <c r="A889" s="170"/>
      <c r="B889" s="170"/>
    </row>
    <row r="890" spans="1:2" x14ac:dyDescent="0.25">
      <c r="A890" s="170"/>
      <c r="B890" s="170"/>
    </row>
    <row r="891" spans="1:2" x14ac:dyDescent="0.25">
      <c r="A891" s="170"/>
      <c r="B891" s="170"/>
    </row>
    <row r="892" spans="1:2" x14ac:dyDescent="0.25">
      <c r="A892" s="170"/>
      <c r="B892" s="170"/>
    </row>
    <row r="893" spans="1:2" x14ac:dyDescent="0.25">
      <c r="A893" s="170"/>
      <c r="B893" s="170"/>
    </row>
    <row r="894" spans="1:2" x14ac:dyDescent="0.25">
      <c r="A894" s="170"/>
      <c r="B894" s="170"/>
    </row>
    <row r="895" spans="1:2" x14ac:dyDescent="0.25">
      <c r="A895" s="170"/>
      <c r="B895" s="170"/>
    </row>
    <row r="896" spans="1:2" x14ac:dyDescent="0.25">
      <c r="A896" s="170"/>
      <c r="B896" s="170"/>
    </row>
    <row r="897" spans="1:2" x14ac:dyDescent="0.25">
      <c r="A897" s="170"/>
      <c r="B897" s="170"/>
    </row>
    <row r="898" spans="1:2" x14ac:dyDescent="0.25">
      <c r="A898" s="170"/>
      <c r="B898" s="170"/>
    </row>
    <row r="899" spans="1:2" x14ac:dyDescent="0.25">
      <c r="A899" s="170"/>
      <c r="B899" s="170"/>
    </row>
    <row r="900" spans="1:2" x14ac:dyDescent="0.25">
      <c r="A900" s="170"/>
      <c r="B900" s="170"/>
    </row>
    <row r="901" spans="1:2" x14ac:dyDescent="0.25">
      <c r="A901" s="170"/>
      <c r="B901" s="170"/>
    </row>
    <row r="902" spans="1:2" x14ac:dyDescent="0.25">
      <c r="A902" s="170"/>
      <c r="B902" s="170"/>
    </row>
    <row r="903" spans="1:2" x14ac:dyDescent="0.25">
      <c r="A903" s="170"/>
      <c r="B903" s="170"/>
    </row>
    <row r="904" spans="1:2" x14ac:dyDescent="0.25">
      <c r="A904" s="170"/>
      <c r="B904" s="170"/>
    </row>
    <row r="905" spans="1:2" x14ac:dyDescent="0.25">
      <c r="A905" s="170"/>
      <c r="B905" s="170"/>
    </row>
    <row r="906" spans="1:2" x14ac:dyDescent="0.25">
      <c r="A906" s="170"/>
      <c r="B906" s="170"/>
    </row>
    <row r="907" spans="1:2" x14ac:dyDescent="0.25">
      <c r="A907" s="170"/>
      <c r="B907" s="170"/>
    </row>
    <row r="908" spans="1:2" x14ac:dyDescent="0.25">
      <c r="A908" s="170"/>
      <c r="B908" s="170"/>
    </row>
    <row r="909" spans="1:2" x14ac:dyDescent="0.25">
      <c r="A909" s="170"/>
      <c r="B909" s="170"/>
    </row>
    <row r="910" spans="1:2" x14ac:dyDescent="0.25">
      <c r="A910" s="170"/>
      <c r="B910" s="170"/>
    </row>
    <row r="911" spans="1:2" x14ac:dyDescent="0.25">
      <c r="A911" s="170"/>
      <c r="B911" s="170"/>
    </row>
    <row r="912" spans="1:2" x14ac:dyDescent="0.25">
      <c r="A912" s="170"/>
      <c r="B912" s="170"/>
    </row>
    <row r="913" spans="1:2" x14ac:dyDescent="0.25">
      <c r="A913" s="170"/>
      <c r="B913" s="170"/>
    </row>
    <row r="914" spans="1:2" x14ac:dyDescent="0.25">
      <c r="A914" s="170"/>
      <c r="B914" s="170"/>
    </row>
    <row r="915" spans="1:2" x14ac:dyDescent="0.25">
      <c r="A915" s="170"/>
      <c r="B915" s="170"/>
    </row>
    <row r="916" spans="1:2" x14ac:dyDescent="0.25">
      <c r="A916" s="170"/>
      <c r="B916" s="170"/>
    </row>
    <row r="917" spans="1:2" x14ac:dyDescent="0.25">
      <c r="A917" s="170"/>
      <c r="B917" s="170"/>
    </row>
    <row r="918" spans="1:2" x14ac:dyDescent="0.25">
      <c r="A918" s="170"/>
      <c r="B918" s="170"/>
    </row>
    <row r="919" spans="1:2" x14ac:dyDescent="0.25">
      <c r="A919" s="170"/>
      <c r="B919" s="170"/>
    </row>
    <row r="920" spans="1:2" x14ac:dyDescent="0.25">
      <c r="A920" s="170"/>
      <c r="B920" s="170"/>
    </row>
    <row r="921" spans="1:2" x14ac:dyDescent="0.25">
      <c r="A921" s="170"/>
      <c r="B921" s="170"/>
    </row>
    <row r="922" spans="1:2" x14ac:dyDescent="0.25">
      <c r="A922" s="170"/>
      <c r="B922" s="170"/>
    </row>
    <row r="923" spans="1:2" x14ac:dyDescent="0.25">
      <c r="A923" s="170"/>
      <c r="B923" s="170"/>
    </row>
    <row r="924" spans="1:2" x14ac:dyDescent="0.25">
      <c r="A924" s="170"/>
      <c r="B924" s="170"/>
    </row>
    <row r="925" spans="1:2" x14ac:dyDescent="0.25">
      <c r="A925" s="170"/>
      <c r="B925" s="170"/>
    </row>
    <row r="926" spans="1:2" x14ac:dyDescent="0.25">
      <c r="A926" s="170"/>
      <c r="B926" s="170"/>
    </row>
    <row r="927" spans="1:2" x14ac:dyDescent="0.25">
      <c r="A927" s="170"/>
      <c r="B927" s="170"/>
    </row>
    <row r="928" spans="1:2" x14ac:dyDescent="0.25">
      <c r="A928" s="170"/>
      <c r="B928" s="170"/>
    </row>
    <row r="929" spans="1:2" x14ac:dyDescent="0.25">
      <c r="A929" s="170"/>
      <c r="B929" s="170"/>
    </row>
    <row r="930" spans="1:2" x14ac:dyDescent="0.25">
      <c r="A930" s="170"/>
      <c r="B930" s="170"/>
    </row>
    <row r="931" spans="1:2" x14ac:dyDescent="0.25">
      <c r="A931" s="170"/>
      <c r="B931" s="170"/>
    </row>
    <row r="932" spans="1:2" x14ac:dyDescent="0.25">
      <c r="A932" s="170"/>
      <c r="B932" s="170"/>
    </row>
    <row r="933" spans="1:2" x14ac:dyDescent="0.25">
      <c r="A933" s="170"/>
      <c r="B933" s="170"/>
    </row>
    <row r="934" spans="1:2" x14ac:dyDescent="0.25">
      <c r="A934" s="170"/>
      <c r="B934" s="170"/>
    </row>
    <row r="935" spans="1:2" x14ac:dyDescent="0.25">
      <c r="A935" s="170"/>
      <c r="B935" s="170"/>
    </row>
    <row r="936" spans="1:2" x14ac:dyDescent="0.25">
      <c r="A936" s="170"/>
      <c r="B936" s="170"/>
    </row>
    <row r="937" spans="1:2" x14ac:dyDescent="0.25">
      <c r="A937" s="170"/>
      <c r="B937" s="170"/>
    </row>
    <row r="938" spans="1:2" x14ac:dyDescent="0.25">
      <c r="A938" s="170"/>
      <c r="B938" s="170"/>
    </row>
    <row r="939" spans="1:2" x14ac:dyDescent="0.25">
      <c r="A939" s="170"/>
      <c r="B939" s="170"/>
    </row>
    <row r="940" spans="1:2" x14ac:dyDescent="0.25">
      <c r="A940" s="170"/>
      <c r="B940" s="170"/>
    </row>
    <row r="941" spans="1:2" x14ac:dyDescent="0.25">
      <c r="A941" s="170"/>
      <c r="B941" s="170"/>
    </row>
    <row r="942" spans="1:2" x14ac:dyDescent="0.25">
      <c r="A942" s="170"/>
      <c r="B942" s="170"/>
    </row>
    <row r="943" spans="1:2" x14ac:dyDescent="0.25">
      <c r="A943" s="170"/>
      <c r="B943" s="170"/>
    </row>
    <row r="944" spans="1:2" x14ac:dyDescent="0.25">
      <c r="A944" s="170"/>
      <c r="B944" s="170"/>
    </row>
    <row r="945" spans="1:2" x14ac:dyDescent="0.25">
      <c r="A945" s="170"/>
      <c r="B945" s="170"/>
    </row>
    <row r="946" spans="1:2" x14ac:dyDescent="0.25">
      <c r="A946" s="170"/>
      <c r="B946" s="170"/>
    </row>
    <row r="947" spans="1:2" x14ac:dyDescent="0.25">
      <c r="A947" s="170"/>
      <c r="B947" s="170"/>
    </row>
    <row r="948" spans="1:2" x14ac:dyDescent="0.25">
      <c r="A948" s="170"/>
      <c r="B948" s="170"/>
    </row>
    <row r="949" spans="1:2" x14ac:dyDescent="0.25">
      <c r="A949" s="170"/>
      <c r="B949" s="170"/>
    </row>
    <row r="950" spans="1:2" x14ac:dyDescent="0.25">
      <c r="A950" s="170"/>
      <c r="B950" s="170"/>
    </row>
    <row r="951" spans="1:2" x14ac:dyDescent="0.25">
      <c r="A951" s="170"/>
      <c r="B951" s="170"/>
    </row>
    <row r="952" spans="1:2" x14ac:dyDescent="0.25">
      <c r="A952" s="170"/>
      <c r="B952" s="170"/>
    </row>
    <row r="953" spans="1:2" x14ac:dyDescent="0.25">
      <c r="A953" s="170"/>
      <c r="B953" s="170"/>
    </row>
    <row r="954" spans="1:2" x14ac:dyDescent="0.25">
      <c r="A954" s="170"/>
      <c r="B954" s="170"/>
    </row>
    <row r="955" spans="1:2" x14ac:dyDescent="0.25">
      <c r="A955" s="170"/>
      <c r="B955" s="170"/>
    </row>
    <row r="956" spans="1:2" x14ac:dyDescent="0.25">
      <c r="A956" s="170"/>
      <c r="B956" s="170"/>
    </row>
    <row r="957" spans="1:2" x14ac:dyDescent="0.25">
      <c r="A957" s="170"/>
      <c r="B957" s="170"/>
    </row>
    <row r="958" spans="1:2" x14ac:dyDescent="0.25">
      <c r="A958" s="170"/>
      <c r="B958" s="170"/>
    </row>
    <row r="959" spans="1:2" x14ac:dyDescent="0.25">
      <c r="A959" s="170"/>
      <c r="B959" s="170"/>
    </row>
    <row r="960" spans="1:2" x14ac:dyDescent="0.25">
      <c r="A960" s="170"/>
      <c r="B960" s="170"/>
    </row>
    <row r="961" spans="1:2" x14ac:dyDescent="0.25">
      <c r="A961" s="170"/>
      <c r="B961" s="170"/>
    </row>
    <row r="962" spans="1:2" x14ac:dyDescent="0.25">
      <c r="A962" s="170"/>
      <c r="B962" s="170"/>
    </row>
    <row r="963" spans="1:2" x14ac:dyDescent="0.25">
      <c r="A963" s="170"/>
      <c r="B963" s="170"/>
    </row>
    <row r="964" spans="1:2" x14ac:dyDescent="0.25">
      <c r="A964" s="170"/>
      <c r="B964" s="170"/>
    </row>
    <row r="965" spans="1:2" x14ac:dyDescent="0.25">
      <c r="A965" s="170"/>
      <c r="B965" s="170"/>
    </row>
    <row r="966" spans="1:2" x14ac:dyDescent="0.25">
      <c r="A966" s="170"/>
      <c r="B966" s="170"/>
    </row>
    <row r="967" spans="1:2" x14ac:dyDescent="0.25">
      <c r="A967" s="170"/>
      <c r="B967" s="170"/>
    </row>
    <row r="968" spans="1:2" x14ac:dyDescent="0.25">
      <c r="A968" s="170"/>
      <c r="B968" s="170"/>
    </row>
    <row r="969" spans="1:2" x14ac:dyDescent="0.25">
      <c r="A969" s="170"/>
      <c r="B969" s="170"/>
    </row>
    <row r="970" spans="1:2" x14ac:dyDescent="0.25">
      <c r="A970" s="170"/>
      <c r="B970" s="170"/>
    </row>
    <row r="971" spans="1:2" x14ac:dyDescent="0.25">
      <c r="A971" s="170"/>
      <c r="B971" s="170"/>
    </row>
    <row r="972" spans="1:2" x14ac:dyDescent="0.25">
      <c r="A972" s="170"/>
      <c r="B972" s="170"/>
    </row>
    <row r="973" spans="1:2" x14ac:dyDescent="0.25">
      <c r="A973" s="170"/>
      <c r="B973" s="170"/>
    </row>
    <row r="974" spans="1:2" x14ac:dyDescent="0.25">
      <c r="A974" s="170"/>
      <c r="B974" s="170"/>
    </row>
    <row r="975" spans="1:2" x14ac:dyDescent="0.25">
      <c r="A975" s="170"/>
      <c r="B975" s="170"/>
    </row>
    <row r="976" spans="1:2" x14ac:dyDescent="0.25">
      <c r="A976" s="170"/>
      <c r="B976" s="170"/>
    </row>
    <row r="977" spans="1:2" x14ac:dyDescent="0.25">
      <c r="A977" s="170"/>
      <c r="B977" s="170"/>
    </row>
    <row r="978" spans="1:2" x14ac:dyDescent="0.25">
      <c r="A978" s="170"/>
      <c r="B978" s="170"/>
    </row>
    <row r="979" spans="1:2" x14ac:dyDescent="0.25">
      <c r="A979" s="170"/>
      <c r="B979" s="170"/>
    </row>
    <row r="980" spans="1:2" x14ac:dyDescent="0.25">
      <c r="A980" s="170"/>
      <c r="B980" s="170"/>
    </row>
    <row r="981" spans="1:2" x14ac:dyDescent="0.25">
      <c r="A981" s="170"/>
      <c r="B981" s="170"/>
    </row>
    <row r="982" spans="1:2" x14ac:dyDescent="0.25">
      <c r="A982" s="170"/>
      <c r="B982" s="170"/>
    </row>
    <row r="983" spans="1:2" x14ac:dyDescent="0.25">
      <c r="A983" s="170"/>
      <c r="B983" s="170"/>
    </row>
    <row r="984" spans="1:2" x14ac:dyDescent="0.25">
      <c r="A984" s="170"/>
      <c r="B984" s="170"/>
    </row>
    <row r="985" spans="1:2" x14ac:dyDescent="0.25">
      <c r="A985" s="170"/>
      <c r="B985" s="170"/>
    </row>
    <row r="986" spans="1:2" x14ac:dyDescent="0.25">
      <c r="A986" s="170"/>
      <c r="B986" s="170"/>
    </row>
    <row r="987" spans="1:2" x14ac:dyDescent="0.25">
      <c r="A987" s="170"/>
      <c r="B987" s="170"/>
    </row>
    <row r="988" spans="1:2" x14ac:dyDescent="0.25">
      <c r="A988" s="170"/>
      <c r="B988" s="170"/>
    </row>
    <row r="989" spans="1:2" x14ac:dyDescent="0.25">
      <c r="A989" s="170"/>
      <c r="B989" s="170"/>
    </row>
    <row r="990" spans="1:2" x14ac:dyDescent="0.25">
      <c r="A990" s="170"/>
      <c r="B990" s="170"/>
    </row>
    <row r="991" spans="1:2" x14ac:dyDescent="0.25">
      <c r="A991" s="170"/>
      <c r="B991" s="170"/>
    </row>
    <row r="992" spans="1:2" x14ac:dyDescent="0.25">
      <c r="A992" s="170"/>
      <c r="B992" s="170"/>
    </row>
    <row r="993" spans="1:2" x14ac:dyDescent="0.25">
      <c r="A993" s="170"/>
      <c r="B993" s="170"/>
    </row>
    <row r="994" spans="1:2" x14ac:dyDescent="0.25">
      <c r="A994" s="170"/>
      <c r="B994" s="170"/>
    </row>
    <row r="995" spans="1:2" x14ac:dyDescent="0.25">
      <c r="A995" s="170"/>
      <c r="B995" s="170"/>
    </row>
    <row r="996" spans="1:2" x14ac:dyDescent="0.25">
      <c r="A996" s="170"/>
      <c r="B996" s="170"/>
    </row>
    <row r="997" spans="1:2" x14ac:dyDescent="0.25">
      <c r="A997" s="170"/>
      <c r="B997" s="170"/>
    </row>
    <row r="998" spans="1:2" x14ac:dyDescent="0.25">
      <c r="A998" s="170"/>
      <c r="B998" s="170"/>
    </row>
    <row r="999" spans="1:2" x14ac:dyDescent="0.25">
      <c r="A999" s="170"/>
      <c r="B999" s="170"/>
    </row>
    <row r="1000" spans="1:2" x14ac:dyDescent="0.25">
      <c r="A1000" s="170"/>
      <c r="B1000" s="170"/>
    </row>
    <row r="1001" spans="1:2" x14ac:dyDescent="0.25">
      <c r="A1001" s="170"/>
      <c r="B1001" s="170"/>
    </row>
    <row r="1002" spans="1:2" x14ac:dyDescent="0.25">
      <c r="A1002" s="170"/>
      <c r="B1002" s="170"/>
    </row>
    <row r="1003" spans="1:2" x14ac:dyDescent="0.25">
      <c r="A1003" s="170"/>
      <c r="B1003" s="170"/>
    </row>
    <row r="1004" spans="1:2" x14ac:dyDescent="0.25">
      <c r="A1004" s="170"/>
      <c r="B1004" s="170"/>
    </row>
    <row r="1005" spans="1:2" x14ac:dyDescent="0.25">
      <c r="A1005" s="170"/>
      <c r="B1005" s="170"/>
    </row>
    <row r="1006" spans="1:2" x14ac:dyDescent="0.25">
      <c r="A1006" s="170"/>
      <c r="B1006" s="170"/>
    </row>
    <row r="1007" spans="1:2" x14ac:dyDescent="0.25">
      <c r="A1007" s="170"/>
      <c r="B1007" s="170"/>
    </row>
    <row r="1008" spans="1:2" x14ac:dyDescent="0.25">
      <c r="A1008" s="170"/>
      <c r="B1008" s="170"/>
    </row>
    <row r="1009" spans="1:2" x14ac:dyDescent="0.25">
      <c r="A1009" s="170"/>
      <c r="B1009" s="170"/>
    </row>
    <row r="1010" spans="1:2" x14ac:dyDescent="0.25">
      <c r="A1010" s="170"/>
      <c r="B1010" s="170"/>
    </row>
    <row r="1011" spans="1:2" x14ac:dyDescent="0.25">
      <c r="A1011" s="170"/>
      <c r="B1011" s="170"/>
    </row>
    <row r="1012" spans="1:2" x14ac:dyDescent="0.25">
      <c r="A1012" s="170"/>
      <c r="B1012" s="170"/>
    </row>
    <row r="1013" spans="1:2" x14ac:dyDescent="0.25">
      <c r="A1013" s="170"/>
      <c r="B1013" s="170"/>
    </row>
    <row r="1014" spans="1:2" x14ac:dyDescent="0.25">
      <c r="A1014" s="170"/>
      <c r="B1014" s="170"/>
    </row>
    <row r="1015" spans="1:2" x14ac:dyDescent="0.25">
      <c r="A1015" s="170"/>
      <c r="B1015" s="170"/>
    </row>
    <row r="1016" spans="1:2" x14ac:dyDescent="0.25">
      <c r="A1016" s="170"/>
      <c r="B1016" s="170"/>
    </row>
    <row r="1017" spans="1:2" x14ac:dyDescent="0.25">
      <c r="A1017" s="170"/>
      <c r="B1017" s="170"/>
    </row>
    <row r="1018" spans="1:2" x14ac:dyDescent="0.25">
      <c r="A1018" s="170"/>
      <c r="B1018" s="170"/>
    </row>
    <row r="1019" spans="1:2" x14ac:dyDescent="0.25">
      <c r="A1019" s="170"/>
      <c r="B1019" s="170"/>
    </row>
    <row r="1020" spans="1:2" x14ac:dyDescent="0.25">
      <c r="A1020" s="170"/>
      <c r="B1020" s="170"/>
    </row>
    <row r="1021" spans="1:2" x14ac:dyDescent="0.25">
      <c r="A1021" s="170"/>
      <c r="B1021" s="170"/>
    </row>
    <row r="1022" spans="1:2" x14ac:dyDescent="0.25">
      <c r="A1022" s="170"/>
      <c r="B1022" s="170"/>
    </row>
    <row r="1023" spans="1:2" x14ac:dyDescent="0.25">
      <c r="A1023" s="170"/>
      <c r="B1023" s="170"/>
    </row>
    <row r="1024" spans="1:2" x14ac:dyDescent="0.25">
      <c r="A1024" s="170"/>
      <c r="B1024" s="170"/>
    </row>
    <row r="1025" spans="1:2" x14ac:dyDescent="0.25">
      <c r="A1025" s="170"/>
      <c r="B1025" s="170"/>
    </row>
    <row r="1026" spans="1:2" x14ac:dyDescent="0.25">
      <c r="A1026" s="170"/>
      <c r="B1026" s="170"/>
    </row>
    <row r="1027" spans="1:2" x14ac:dyDescent="0.25">
      <c r="A1027" s="170"/>
      <c r="B1027" s="170"/>
    </row>
    <row r="1028" spans="1:2" x14ac:dyDescent="0.25">
      <c r="A1028" s="170"/>
      <c r="B1028" s="170"/>
    </row>
    <row r="1029" spans="1:2" x14ac:dyDescent="0.25">
      <c r="A1029" s="170"/>
      <c r="B1029" s="170"/>
    </row>
    <row r="1030" spans="1:2" x14ac:dyDescent="0.25">
      <c r="A1030" s="170"/>
      <c r="B1030" s="170"/>
    </row>
    <row r="1031" spans="1:2" x14ac:dyDescent="0.25">
      <c r="A1031" s="170"/>
      <c r="B1031" s="170"/>
    </row>
    <row r="1032" spans="1:2" x14ac:dyDescent="0.25">
      <c r="A1032" s="170"/>
      <c r="B1032" s="170"/>
    </row>
    <row r="1033" spans="1:2" x14ac:dyDescent="0.25">
      <c r="A1033" s="170"/>
      <c r="B1033" s="170"/>
    </row>
    <row r="1034" spans="1:2" x14ac:dyDescent="0.25">
      <c r="A1034" s="170"/>
      <c r="B1034" s="170"/>
    </row>
    <row r="1035" spans="1:2" x14ac:dyDescent="0.25">
      <c r="A1035" s="170"/>
      <c r="B1035" s="170"/>
    </row>
    <row r="1036" spans="1:2" x14ac:dyDescent="0.25">
      <c r="A1036" s="170"/>
      <c r="B1036" s="170"/>
    </row>
    <row r="1037" spans="1:2" x14ac:dyDescent="0.25">
      <c r="A1037" s="170"/>
      <c r="B1037" s="170"/>
    </row>
    <row r="1038" spans="1:2" x14ac:dyDescent="0.25">
      <c r="A1038" s="170"/>
      <c r="B1038" s="170"/>
    </row>
    <row r="1039" spans="1:2" x14ac:dyDescent="0.25">
      <c r="A1039" s="170"/>
      <c r="B1039" s="170"/>
    </row>
    <row r="1040" spans="1:2" x14ac:dyDescent="0.25">
      <c r="A1040" s="170"/>
      <c r="B1040" s="170"/>
    </row>
    <row r="1041" spans="1:2" x14ac:dyDescent="0.25">
      <c r="A1041" s="170"/>
      <c r="B1041" s="170"/>
    </row>
    <row r="1042" spans="1:2" x14ac:dyDescent="0.25">
      <c r="A1042" s="170"/>
      <c r="B1042" s="170"/>
    </row>
    <row r="1043" spans="1:2" x14ac:dyDescent="0.25">
      <c r="A1043" s="170"/>
      <c r="B1043" s="170"/>
    </row>
    <row r="1044" spans="1:2" x14ac:dyDescent="0.25">
      <c r="A1044" s="170"/>
      <c r="B1044" s="170"/>
    </row>
    <row r="1045" spans="1:2" x14ac:dyDescent="0.25">
      <c r="A1045" s="170"/>
      <c r="B1045" s="170"/>
    </row>
    <row r="1046" spans="1:2" x14ac:dyDescent="0.25">
      <c r="A1046" s="170"/>
      <c r="B1046" s="170"/>
    </row>
    <row r="1047" spans="1:2" x14ac:dyDescent="0.25">
      <c r="A1047" s="170"/>
      <c r="B1047" s="170"/>
    </row>
    <row r="1048" spans="1:2" x14ac:dyDescent="0.25">
      <c r="A1048" s="170"/>
      <c r="B1048" s="170"/>
    </row>
    <row r="1049" spans="1:2" x14ac:dyDescent="0.25">
      <c r="A1049" s="170"/>
      <c r="B1049" s="170"/>
    </row>
    <row r="1050" spans="1:2" x14ac:dyDescent="0.25">
      <c r="A1050" s="170"/>
      <c r="B1050" s="170"/>
    </row>
    <row r="1051" spans="1:2" x14ac:dyDescent="0.25">
      <c r="A1051" s="170"/>
      <c r="B1051" s="170"/>
    </row>
    <row r="1052" spans="1:2" x14ac:dyDescent="0.25">
      <c r="A1052" s="170"/>
      <c r="B1052" s="170"/>
    </row>
    <row r="1053" spans="1:2" x14ac:dyDescent="0.25">
      <c r="A1053" s="170"/>
      <c r="B1053" s="170"/>
    </row>
    <row r="1054" spans="1:2" x14ac:dyDescent="0.25">
      <c r="A1054" s="170"/>
      <c r="B1054" s="170"/>
    </row>
    <row r="1055" spans="1:2" x14ac:dyDescent="0.25">
      <c r="A1055" s="170"/>
      <c r="B1055" s="170"/>
    </row>
    <row r="1056" spans="1:2" x14ac:dyDescent="0.25">
      <c r="A1056" s="170"/>
      <c r="B1056" s="170"/>
    </row>
    <row r="1057" spans="1:2" x14ac:dyDescent="0.25">
      <c r="A1057" s="170"/>
      <c r="B1057" s="170"/>
    </row>
    <row r="1058" spans="1:2" x14ac:dyDescent="0.25">
      <c r="A1058" s="170"/>
      <c r="B1058" s="170"/>
    </row>
    <row r="1059" spans="1:2" x14ac:dyDescent="0.25">
      <c r="A1059" s="170"/>
      <c r="B1059" s="170"/>
    </row>
    <row r="1060" spans="1:2" x14ac:dyDescent="0.25">
      <c r="A1060" s="170"/>
      <c r="B1060" s="170"/>
    </row>
    <row r="1061" spans="1:2" x14ac:dyDescent="0.25">
      <c r="A1061" s="170"/>
      <c r="B1061" s="170"/>
    </row>
    <row r="1062" spans="1:2" x14ac:dyDescent="0.25">
      <c r="A1062" s="170"/>
      <c r="B1062" s="170"/>
    </row>
    <row r="1063" spans="1:2" x14ac:dyDescent="0.25">
      <c r="A1063" s="170"/>
      <c r="B1063" s="170"/>
    </row>
    <row r="1064" spans="1:2" x14ac:dyDescent="0.25">
      <c r="A1064" s="170"/>
      <c r="B1064" s="170"/>
    </row>
    <row r="1065" spans="1:2" x14ac:dyDescent="0.25">
      <c r="A1065" s="170"/>
      <c r="B1065" s="170"/>
    </row>
    <row r="1066" spans="1:2" x14ac:dyDescent="0.25">
      <c r="A1066" s="170"/>
      <c r="B1066" s="170"/>
    </row>
    <row r="1067" spans="1:2" x14ac:dyDescent="0.25">
      <c r="A1067" s="170"/>
      <c r="B1067" s="170"/>
    </row>
    <row r="1068" spans="1:2" x14ac:dyDescent="0.25">
      <c r="A1068" s="170"/>
      <c r="B1068" s="170"/>
    </row>
    <row r="1069" spans="1:2" x14ac:dyDescent="0.25">
      <c r="A1069" s="170"/>
      <c r="B1069" s="170"/>
    </row>
    <row r="1070" spans="1:2" x14ac:dyDescent="0.25">
      <c r="A1070" s="170"/>
      <c r="B1070" s="170"/>
    </row>
    <row r="1071" spans="1:2" x14ac:dyDescent="0.25">
      <c r="A1071" s="170"/>
      <c r="B1071" s="170"/>
    </row>
    <row r="1072" spans="1:2" x14ac:dyDescent="0.25">
      <c r="A1072" s="170"/>
      <c r="B1072" s="170"/>
    </row>
    <row r="1073" spans="1:2" x14ac:dyDescent="0.25">
      <c r="A1073" s="170"/>
      <c r="B1073" s="170"/>
    </row>
    <row r="1074" spans="1:2" x14ac:dyDescent="0.25">
      <c r="A1074" s="170"/>
      <c r="B1074" s="170"/>
    </row>
    <row r="1075" spans="1:2" x14ac:dyDescent="0.25">
      <c r="A1075" s="170"/>
      <c r="B1075" s="170"/>
    </row>
    <row r="1076" spans="1:2" x14ac:dyDescent="0.25">
      <c r="A1076" s="170"/>
      <c r="B1076" s="170"/>
    </row>
    <row r="1077" spans="1:2" x14ac:dyDescent="0.25">
      <c r="A1077" s="170"/>
      <c r="B1077" s="170"/>
    </row>
    <row r="1078" spans="1:2" x14ac:dyDescent="0.25">
      <c r="A1078" s="170"/>
      <c r="B1078" s="170"/>
    </row>
    <row r="1079" spans="1:2" x14ac:dyDescent="0.25">
      <c r="A1079" s="170"/>
      <c r="B1079" s="170"/>
    </row>
    <row r="1080" spans="1:2" x14ac:dyDescent="0.25">
      <c r="A1080" s="170"/>
      <c r="B1080" s="170"/>
    </row>
    <row r="1081" spans="1:2" x14ac:dyDescent="0.25">
      <c r="A1081" s="170"/>
      <c r="B1081" s="170"/>
    </row>
    <row r="1082" spans="1:2" x14ac:dyDescent="0.25">
      <c r="A1082" s="170"/>
      <c r="B1082" s="170"/>
    </row>
    <row r="1083" spans="1:2" x14ac:dyDescent="0.25">
      <c r="A1083" s="170"/>
      <c r="B1083" s="170"/>
    </row>
    <row r="1084" spans="1:2" x14ac:dyDescent="0.25">
      <c r="A1084" s="170"/>
      <c r="B1084" s="170"/>
    </row>
    <row r="1085" spans="1:2" x14ac:dyDescent="0.25">
      <c r="A1085" s="170"/>
      <c r="B1085" s="170"/>
    </row>
    <row r="1086" spans="1:2" x14ac:dyDescent="0.25">
      <c r="A1086" s="170"/>
      <c r="B1086" s="170"/>
    </row>
    <row r="1087" spans="1:2" x14ac:dyDescent="0.25">
      <c r="A1087" s="170"/>
      <c r="B1087" s="170"/>
    </row>
    <row r="1088" spans="1:2" x14ac:dyDescent="0.25">
      <c r="A1088" s="170"/>
      <c r="B1088" s="170"/>
    </row>
    <row r="1089" spans="1:2" x14ac:dyDescent="0.25">
      <c r="A1089" s="170"/>
      <c r="B1089" s="170"/>
    </row>
    <row r="1090" spans="1:2" x14ac:dyDescent="0.25">
      <c r="A1090" s="170"/>
      <c r="B1090" s="170"/>
    </row>
    <row r="1091" spans="1:2" x14ac:dyDescent="0.25">
      <c r="A1091" s="170"/>
      <c r="B1091" s="170"/>
    </row>
    <row r="1092" spans="1:2" x14ac:dyDescent="0.25">
      <c r="A1092" s="170"/>
      <c r="B1092" s="170"/>
    </row>
    <row r="1093" spans="1:2" x14ac:dyDescent="0.25">
      <c r="A1093" s="170"/>
      <c r="B1093" s="170"/>
    </row>
    <row r="1094" spans="1:2" x14ac:dyDescent="0.25">
      <c r="A1094" s="170"/>
      <c r="B1094" s="170"/>
    </row>
    <row r="1095" spans="1:2" x14ac:dyDescent="0.25">
      <c r="A1095" s="170"/>
      <c r="B1095" s="170"/>
    </row>
    <row r="1096" spans="1:2" x14ac:dyDescent="0.25">
      <c r="A1096" s="170"/>
      <c r="B1096" s="170"/>
    </row>
    <row r="1097" spans="1:2" x14ac:dyDescent="0.25">
      <c r="A1097" s="170"/>
      <c r="B1097" s="170"/>
    </row>
    <row r="1098" spans="1:2" x14ac:dyDescent="0.25">
      <c r="A1098" s="170"/>
      <c r="B1098" s="170"/>
    </row>
    <row r="1099" spans="1:2" x14ac:dyDescent="0.25">
      <c r="A1099" s="170"/>
      <c r="B1099" s="170"/>
    </row>
    <row r="1100" spans="1:2" x14ac:dyDescent="0.25">
      <c r="A1100" s="170"/>
      <c r="B1100" s="170"/>
    </row>
    <row r="1101" spans="1:2" x14ac:dyDescent="0.25">
      <c r="A1101" s="170"/>
      <c r="B1101" s="170"/>
    </row>
    <row r="1102" spans="1:2" x14ac:dyDescent="0.25">
      <c r="A1102" s="170"/>
      <c r="B1102" s="170"/>
    </row>
    <row r="1103" spans="1:2" x14ac:dyDescent="0.25">
      <c r="A1103" s="170"/>
      <c r="B1103" s="170"/>
    </row>
    <row r="1104" spans="1:2" x14ac:dyDescent="0.25">
      <c r="A1104" s="170"/>
      <c r="B1104" s="170"/>
    </row>
    <row r="1105" spans="1:2" x14ac:dyDescent="0.25">
      <c r="A1105" s="170"/>
      <c r="B1105" s="170"/>
    </row>
    <row r="1106" spans="1:2" x14ac:dyDescent="0.25">
      <c r="A1106" s="170"/>
      <c r="B1106" s="170"/>
    </row>
    <row r="1107" spans="1:2" x14ac:dyDescent="0.25">
      <c r="A1107" s="170"/>
      <c r="B1107" s="170"/>
    </row>
    <row r="1108" spans="1:2" x14ac:dyDescent="0.25">
      <c r="A1108" s="170"/>
      <c r="B1108" s="170"/>
    </row>
    <row r="1109" spans="1:2" x14ac:dyDescent="0.25">
      <c r="A1109" s="170"/>
      <c r="B1109" s="170"/>
    </row>
    <row r="1110" spans="1:2" x14ac:dyDescent="0.25">
      <c r="A1110" s="170"/>
      <c r="B1110" s="170"/>
    </row>
    <row r="1111" spans="1:2" x14ac:dyDescent="0.25">
      <c r="A1111" s="170"/>
      <c r="B1111" s="170"/>
    </row>
    <row r="1112" spans="1:2" x14ac:dyDescent="0.25">
      <c r="A1112" s="170"/>
      <c r="B1112" s="170"/>
    </row>
    <row r="1113" spans="1:2" x14ac:dyDescent="0.25">
      <c r="A1113" s="170"/>
      <c r="B1113" s="170"/>
    </row>
    <row r="1114" spans="1:2" x14ac:dyDescent="0.25">
      <c r="A1114" s="170"/>
      <c r="B1114" s="170"/>
    </row>
    <row r="1115" spans="1:2" x14ac:dyDescent="0.25">
      <c r="A1115" s="170"/>
      <c r="B1115" s="170"/>
    </row>
    <row r="1116" spans="1:2" x14ac:dyDescent="0.25">
      <c r="A1116" s="170"/>
      <c r="B1116" s="170"/>
    </row>
    <row r="1117" spans="1:2" x14ac:dyDescent="0.25">
      <c r="A1117" s="170"/>
      <c r="B1117" s="170"/>
    </row>
    <row r="1118" spans="1:2" x14ac:dyDescent="0.25">
      <c r="A1118" s="170"/>
      <c r="B1118" s="170"/>
    </row>
    <row r="1119" spans="1:2" x14ac:dyDescent="0.25">
      <c r="A1119" s="170"/>
      <c r="B1119" s="170"/>
    </row>
    <row r="1120" spans="1:2" x14ac:dyDescent="0.25">
      <c r="A1120" s="170"/>
      <c r="B1120" s="170"/>
    </row>
    <row r="1121" spans="1:2" x14ac:dyDescent="0.25">
      <c r="A1121" s="170"/>
      <c r="B1121" s="170"/>
    </row>
    <row r="1122" spans="1:2" x14ac:dyDescent="0.25">
      <c r="A1122" s="170"/>
      <c r="B1122" s="170"/>
    </row>
    <row r="1123" spans="1:2" x14ac:dyDescent="0.25">
      <c r="A1123" s="170"/>
      <c r="B1123" s="170"/>
    </row>
    <row r="1124" spans="1:2" x14ac:dyDescent="0.25">
      <c r="A1124" s="170"/>
      <c r="B1124" s="170"/>
    </row>
    <row r="1125" spans="1:2" x14ac:dyDescent="0.25">
      <c r="A1125" s="170"/>
      <c r="B1125" s="170"/>
    </row>
    <row r="1126" spans="1:2" x14ac:dyDescent="0.25">
      <c r="A1126" s="170"/>
      <c r="B1126" s="170"/>
    </row>
    <row r="1127" spans="1:2" x14ac:dyDescent="0.25">
      <c r="A1127" s="170"/>
      <c r="B1127" s="170"/>
    </row>
    <row r="1128" spans="1:2" x14ac:dyDescent="0.25">
      <c r="A1128" s="170"/>
      <c r="B1128" s="170"/>
    </row>
    <row r="1129" spans="1:2" x14ac:dyDescent="0.25">
      <c r="A1129" s="170"/>
      <c r="B1129" s="170"/>
    </row>
    <row r="1130" spans="1:2" x14ac:dyDescent="0.25">
      <c r="A1130" s="170"/>
      <c r="B1130" s="170"/>
    </row>
    <row r="1131" spans="1:2" x14ac:dyDescent="0.25">
      <c r="A1131" s="170"/>
      <c r="B1131" s="170"/>
    </row>
    <row r="1132" spans="1:2" x14ac:dyDescent="0.25">
      <c r="A1132" s="170"/>
      <c r="B1132" s="170"/>
    </row>
    <row r="1133" spans="1:2" x14ac:dyDescent="0.25">
      <c r="A1133" s="170"/>
      <c r="B1133" s="170"/>
    </row>
    <row r="1134" spans="1:2" x14ac:dyDescent="0.25">
      <c r="A1134" s="170"/>
      <c r="B1134" s="170"/>
    </row>
    <row r="1135" spans="1:2" x14ac:dyDescent="0.25">
      <c r="A1135" s="170"/>
      <c r="B1135" s="170"/>
    </row>
    <row r="1136" spans="1:2" x14ac:dyDescent="0.25">
      <c r="A1136" s="170"/>
      <c r="B1136" s="170"/>
    </row>
    <row r="1137" spans="1:2" x14ac:dyDescent="0.25">
      <c r="A1137" s="170"/>
      <c r="B1137" s="170"/>
    </row>
    <row r="1138" spans="1:2" x14ac:dyDescent="0.25">
      <c r="A1138" s="170"/>
      <c r="B1138" s="170"/>
    </row>
    <row r="1139" spans="1:2" x14ac:dyDescent="0.25">
      <c r="A1139" s="170"/>
      <c r="B1139" s="170"/>
    </row>
    <row r="1140" spans="1:2" x14ac:dyDescent="0.25">
      <c r="A1140" s="170"/>
      <c r="B1140" s="170"/>
    </row>
    <row r="1141" spans="1:2" x14ac:dyDescent="0.25">
      <c r="A1141" s="170"/>
      <c r="B1141" s="170"/>
    </row>
    <row r="1142" spans="1:2" x14ac:dyDescent="0.25">
      <c r="A1142" s="170"/>
      <c r="B1142" s="170"/>
    </row>
    <row r="1143" spans="1:2" x14ac:dyDescent="0.25">
      <c r="A1143" s="170"/>
      <c r="B1143" s="170"/>
    </row>
    <row r="1144" spans="1:2" x14ac:dyDescent="0.25">
      <c r="A1144" s="170"/>
      <c r="B1144" s="170"/>
    </row>
    <row r="1145" spans="1:2" x14ac:dyDescent="0.25">
      <c r="A1145" s="170"/>
      <c r="B1145" s="170"/>
    </row>
    <row r="1146" spans="1:2" x14ac:dyDescent="0.25">
      <c r="A1146" s="170"/>
      <c r="B1146" s="170"/>
    </row>
    <row r="1147" spans="1:2" x14ac:dyDescent="0.25">
      <c r="A1147" s="170"/>
      <c r="B1147" s="170"/>
    </row>
    <row r="1148" spans="1:2" x14ac:dyDescent="0.25">
      <c r="A1148" s="170"/>
      <c r="B1148" s="170"/>
    </row>
    <row r="1149" spans="1:2" x14ac:dyDescent="0.25">
      <c r="A1149" s="170"/>
      <c r="B1149" s="170"/>
    </row>
    <row r="1150" spans="1:2" x14ac:dyDescent="0.25">
      <c r="A1150" s="170"/>
      <c r="B1150" s="170"/>
    </row>
    <row r="1151" spans="1:2" x14ac:dyDescent="0.25">
      <c r="A1151" s="170"/>
      <c r="B1151" s="170"/>
    </row>
    <row r="1152" spans="1:2" x14ac:dyDescent="0.25">
      <c r="A1152" s="170"/>
      <c r="B1152" s="170"/>
    </row>
    <row r="1153" spans="1:2" x14ac:dyDescent="0.25">
      <c r="A1153" s="170"/>
      <c r="B1153" s="170"/>
    </row>
    <row r="1154" spans="1:2" x14ac:dyDescent="0.25">
      <c r="A1154" s="170"/>
      <c r="B1154" s="170"/>
    </row>
    <row r="1155" spans="1:2" x14ac:dyDescent="0.25">
      <c r="A1155" s="170"/>
      <c r="B1155" s="170"/>
    </row>
    <row r="1156" spans="1:2" x14ac:dyDescent="0.25">
      <c r="A1156" s="170"/>
      <c r="B1156" s="170"/>
    </row>
    <row r="1157" spans="1:2" x14ac:dyDescent="0.25">
      <c r="A1157" s="170"/>
      <c r="B1157" s="170"/>
    </row>
    <row r="1158" spans="1:2" x14ac:dyDescent="0.25">
      <c r="A1158" s="170"/>
      <c r="B1158" s="170"/>
    </row>
    <row r="1159" spans="1:2" x14ac:dyDescent="0.25">
      <c r="A1159" s="170"/>
      <c r="B1159" s="170"/>
    </row>
    <row r="1160" spans="1:2" x14ac:dyDescent="0.25">
      <c r="A1160" s="170"/>
      <c r="B1160" s="170"/>
    </row>
    <row r="1161" spans="1:2" x14ac:dyDescent="0.25">
      <c r="A1161" s="170"/>
      <c r="B1161" s="170"/>
    </row>
    <row r="1162" spans="1:2" x14ac:dyDescent="0.25">
      <c r="A1162" s="170"/>
      <c r="B1162" s="170"/>
    </row>
    <row r="1163" spans="1:2" x14ac:dyDescent="0.25">
      <c r="A1163" s="170"/>
      <c r="B1163" s="170"/>
    </row>
    <row r="1164" spans="1:2" x14ac:dyDescent="0.25">
      <c r="A1164" s="170"/>
      <c r="B1164" s="170"/>
    </row>
    <row r="1165" spans="1:2" x14ac:dyDescent="0.25">
      <c r="A1165" s="170"/>
      <c r="B1165" s="170"/>
    </row>
    <row r="1166" spans="1:2" x14ac:dyDescent="0.25">
      <c r="A1166" s="170"/>
      <c r="B1166" s="170"/>
    </row>
    <row r="1167" spans="1:2" x14ac:dyDescent="0.25">
      <c r="A1167" s="170"/>
      <c r="B1167" s="170"/>
    </row>
    <row r="1168" spans="1:2" x14ac:dyDescent="0.25">
      <c r="A1168" s="170"/>
      <c r="B1168" s="170"/>
    </row>
    <row r="1169" spans="1:2" x14ac:dyDescent="0.25">
      <c r="A1169" s="170"/>
      <c r="B1169" s="170"/>
    </row>
    <row r="1170" spans="1:2" x14ac:dyDescent="0.25">
      <c r="A1170" s="170"/>
      <c r="B1170" s="170"/>
    </row>
    <row r="1171" spans="1:2" x14ac:dyDescent="0.25">
      <c r="A1171" s="170"/>
      <c r="B1171" s="170"/>
    </row>
    <row r="1172" spans="1:2" x14ac:dyDescent="0.25">
      <c r="A1172" s="170"/>
      <c r="B1172" s="170"/>
    </row>
    <row r="1173" spans="1:2" x14ac:dyDescent="0.25">
      <c r="A1173" s="170"/>
      <c r="B1173" s="170"/>
    </row>
    <row r="1174" spans="1:2" x14ac:dyDescent="0.25">
      <c r="A1174" s="170"/>
      <c r="B1174" s="170"/>
    </row>
    <row r="1175" spans="1:2" x14ac:dyDescent="0.25">
      <c r="A1175" s="170"/>
      <c r="B1175" s="170"/>
    </row>
    <row r="1176" spans="1:2" x14ac:dyDescent="0.25">
      <c r="A1176" s="170"/>
      <c r="B1176" s="170"/>
    </row>
    <row r="1177" spans="1:2" x14ac:dyDescent="0.25">
      <c r="A1177" s="170"/>
      <c r="B1177" s="170"/>
    </row>
    <row r="1178" spans="1:2" x14ac:dyDescent="0.25">
      <c r="A1178" s="170"/>
      <c r="B1178" s="170"/>
    </row>
    <row r="1179" spans="1:2" x14ac:dyDescent="0.25">
      <c r="A1179" s="170"/>
      <c r="B1179" s="170"/>
    </row>
    <row r="1180" spans="1:2" x14ac:dyDescent="0.25">
      <c r="A1180" s="170"/>
      <c r="B1180" s="170"/>
    </row>
    <row r="1181" spans="1:2" x14ac:dyDescent="0.25">
      <c r="A1181" s="170"/>
      <c r="B1181" s="170"/>
    </row>
    <row r="1182" spans="1:2" x14ac:dyDescent="0.25">
      <c r="A1182" s="170"/>
      <c r="B1182" s="170"/>
    </row>
    <row r="1183" spans="1:2" x14ac:dyDescent="0.25">
      <c r="A1183" s="170"/>
      <c r="B1183" s="170"/>
    </row>
    <row r="1184" spans="1:2" x14ac:dyDescent="0.25">
      <c r="A1184" s="170"/>
      <c r="B1184" s="170"/>
    </row>
    <row r="1185" spans="1:2" x14ac:dyDescent="0.25">
      <c r="A1185" s="170"/>
      <c r="B1185" s="170"/>
    </row>
    <row r="1186" spans="1:2" x14ac:dyDescent="0.25">
      <c r="A1186" s="170"/>
      <c r="B1186" s="170"/>
    </row>
    <row r="1187" spans="1:2" x14ac:dyDescent="0.25">
      <c r="A1187" s="170"/>
      <c r="B1187" s="170"/>
    </row>
    <row r="1188" spans="1:2" x14ac:dyDescent="0.25">
      <c r="A1188" s="170"/>
      <c r="B1188" s="170"/>
    </row>
    <row r="1189" spans="1:2" x14ac:dyDescent="0.25">
      <c r="A1189" s="170"/>
      <c r="B1189" s="170"/>
    </row>
    <row r="1190" spans="1:2" x14ac:dyDescent="0.25">
      <c r="A1190" s="170"/>
      <c r="B1190" s="170"/>
    </row>
    <row r="1191" spans="1:2" x14ac:dyDescent="0.25">
      <c r="A1191" s="170"/>
      <c r="B1191" s="170"/>
    </row>
    <row r="1192" spans="1:2" x14ac:dyDescent="0.25">
      <c r="A1192" s="170"/>
      <c r="B1192" s="170"/>
    </row>
    <row r="1193" spans="1:2" x14ac:dyDescent="0.25">
      <c r="A1193" s="170"/>
      <c r="B1193" s="170"/>
    </row>
    <row r="1194" spans="1:2" x14ac:dyDescent="0.25">
      <c r="A1194" s="170"/>
      <c r="B1194" s="170"/>
    </row>
    <row r="1195" spans="1:2" x14ac:dyDescent="0.25">
      <c r="A1195" s="170"/>
      <c r="B1195" s="170"/>
    </row>
    <row r="1196" spans="1:2" x14ac:dyDescent="0.25">
      <c r="A1196" s="170"/>
      <c r="B1196" s="170"/>
    </row>
    <row r="1197" spans="1:2" x14ac:dyDescent="0.25">
      <c r="A1197" s="170"/>
      <c r="B1197" s="170"/>
    </row>
    <row r="1198" spans="1:2" x14ac:dyDescent="0.25">
      <c r="A1198" s="170"/>
      <c r="B1198" s="170"/>
    </row>
    <row r="1199" spans="1:2" x14ac:dyDescent="0.25">
      <c r="A1199" s="170"/>
      <c r="B1199" s="170"/>
    </row>
    <row r="1200" spans="1:2" x14ac:dyDescent="0.25">
      <c r="A1200" s="170"/>
      <c r="B1200" s="170"/>
    </row>
    <row r="1201" spans="1:2" x14ac:dyDescent="0.25">
      <c r="A1201" s="170"/>
      <c r="B1201" s="170"/>
    </row>
    <row r="1202" spans="1:2" x14ac:dyDescent="0.25">
      <c r="A1202" s="170"/>
      <c r="B1202" s="170"/>
    </row>
    <row r="1203" spans="1:2" x14ac:dyDescent="0.25">
      <c r="A1203" s="170"/>
      <c r="B1203" s="170"/>
    </row>
    <row r="1204" spans="1:2" x14ac:dyDescent="0.25">
      <c r="A1204" s="170"/>
      <c r="B1204" s="170"/>
    </row>
    <row r="1205" spans="1:2" x14ac:dyDescent="0.25">
      <c r="A1205" s="170"/>
      <c r="B1205" s="170"/>
    </row>
    <row r="1206" spans="1:2" x14ac:dyDescent="0.25">
      <c r="A1206" s="170"/>
      <c r="B1206" s="170"/>
    </row>
    <row r="1207" spans="1:2" x14ac:dyDescent="0.25">
      <c r="A1207" s="170"/>
      <c r="B1207" s="170"/>
    </row>
    <row r="1208" spans="1:2" x14ac:dyDescent="0.25">
      <c r="A1208" s="170"/>
      <c r="B1208" s="170"/>
    </row>
    <row r="1209" spans="1:2" x14ac:dyDescent="0.25">
      <c r="A1209" s="170"/>
      <c r="B1209" s="170"/>
    </row>
    <row r="1210" spans="1:2" x14ac:dyDescent="0.25">
      <c r="A1210" s="170"/>
      <c r="B1210" s="170"/>
    </row>
    <row r="1211" spans="1:2" x14ac:dyDescent="0.25">
      <c r="A1211" s="170"/>
      <c r="B1211" s="170"/>
    </row>
    <row r="1212" spans="1:2" x14ac:dyDescent="0.25">
      <c r="A1212" s="170"/>
      <c r="B1212" s="170"/>
    </row>
    <row r="1213" spans="1:2" x14ac:dyDescent="0.25">
      <c r="A1213" s="170"/>
      <c r="B1213" s="170"/>
    </row>
    <row r="1214" spans="1:2" x14ac:dyDescent="0.25">
      <c r="A1214" s="170"/>
      <c r="B1214" s="170"/>
    </row>
    <row r="1215" spans="1:2" x14ac:dyDescent="0.25">
      <c r="A1215" s="170"/>
      <c r="B1215" s="170"/>
    </row>
    <row r="1216" spans="1:2" x14ac:dyDescent="0.25">
      <c r="A1216" s="170"/>
      <c r="B1216" s="170"/>
    </row>
    <row r="1217" spans="1:2" x14ac:dyDescent="0.25">
      <c r="A1217" s="170"/>
      <c r="B1217" s="170"/>
    </row>
    <row r="1218" spans="1:2" x14ac:dyDescent="0.25">
      <c r="A1218" s="170"/>
      <c r="B1218" s="170"/>
    </row>
    <row r="1219" spans="1:2" x14ac:dyDescent="0.25">
      <c r="A1219" s="170"/>
      <c r="B1219" s="170"/>
    </row>
    <row r="1220" spans="1:2" x14ac:dyDescent="0.25">
      <c r="A1220" s="170"/>
      <c r="B1220" s="170"/>
    </row>
    <row r="1221" spans="1:2" x14ac:dyDescent="0.25">
      <c r="A1221" s="170"/>
      <c r="B1221" s="170"/>
    </row>
    <row r="1222" spans="1:2" x14ac:dyDescent="0.25">
      <c r="A1222" s="170"/>
      <c r="B1222" s="170"/>
    </row>
    <row r="1223" spans="1:2" x14ac:dyDescent="0.25">
      <c r="A1223" s="170"/>
      <c r="B1223" s="170"/>
    </row>
    <row r="1224" spans="1:2" x14ac:dyDescent="0.25">
      <c r="A1224" s="170"/>
      <c r="B1224" s="170"/>
    </row>
    <row r="1225" spans="1:2" x14ac:dyDescent="0.25">
      <c r="A1225" s="170"/>
      <c r="B1225" s="170"/>
    </row>
    <row r="1226" spans="1:2" x14ac:dyDescent="0.25">
      <c r="A1226" s="170"/>
      <c r="B1226" s="170"/>
    </row>
    <row r="1227" spans="1:2" x14ac:dyDescent="0.25">
      <c r="A1227" s="170"/>
      <c r="B1227" s="170"/>
    </row>
    <row r="1228" spans="1:2" x14ac:dyDescent="0.25">
      <c r="A1228" s="170"/>
      <c r="B1228" s="170"/>
    </row>
    <row r="1229" spans="1:2" x14ac:dyDescent="0.25">
      <c r="A1229" s="170"/>
      <c r="B1229" s="170"/>
    </row>
    <row r="1230" spans="1:2" x14ac:dyDescent="0.25">
      <c r="A1230" s="170"/>
      <c r="B1230" s="170"/>
    </row>
    <row r="1231" spans="1:2" x14ac:dyDescent="0.25">
      <c r="A1231" s="170"/>
      <c r="B1231" s="170"/>
    </row>
    <row r="1232" spans="1:2" x14ac:dyDescent="0.25">
      <c r="A1232" s="170"/>
      <c r="B1232" s="170"/>
    </row>
    <row r="1233" spans="1:2" x14ac:dyDescent="0.25">
      <c r="A1233" s="170"/>
      <c r="B1233" s="170"/>
    </row>
    <row r="1234" spans="1:2" x14ac:dyDescent="0.25">
      <c r="A1234" s="170"/>
      <c r="B1234" s="170"/>
    </row>
    <row r="1235" spans="1:2" x14ac:dyDescent="0.25">
      <c r="A1235" s="170"/>
      <c r="B1235" s="170"/>
    </row>
    <row r="1236" spans="1:2" x14ac:dyDescent="0.25">
      <c r="A1236" s="170"/>
      <c r="B1236" s="170"/>
    </row>
    <row r="1237" spans="1:2" x14ac:dyDescent="0.25">
      <c r="A1237" s="170"/>
      <c r="B1237" s="170"/>
    </row>
    <row r="1238" spans="1:2" x14ac:dyDescent="0.25">
      <c r="A1238" s="170"/>
      <c r="B1238" s="170"/>
    </row>
    <row r="1239" spans="1:2" x14ac:dyDescent="0.25">
      <c r="A1239" s="170"/>
      <c r="B1239" s="170"/>
    </row>
    <row r="1240" spans="1:2" x14ac:dyDescent="0.25">
      <c r="A1240" s="170"/>
      <c r="B1240" s="170"/>
    </row>
    <row r="1241" spans="1:2" x14ac:dyDescent="0.25">
      <c r="A1241" s="170"/>
      <c r="B1241" s="170"/>
    </row>
    <row r="1242" spans="1:2" x14ac:dyDescent="0.25">
      <c r="A1242" s="170"/>
      <c r="B1242" s="170"/>
    </row>
    <row r="1243" spans="1:2" x14ac:dyDescent="0.25">
      <c r="A1243" s="170"/>
      <c r="B1243" s="170"/>
    </row>
    <row r="1244" spans="1:2" x14ac:dyDescent="0.25">
      <c r="A1244" s="170"/>
      <c r="B1244" s="170"/>
    </row>
    <row r="1245" spans="1:2" x14ac:dyDescent="0.25">
      <c r="A1245" s="170"/>
      <c r="B1245" s="170"/>
    </row>
    <row r="1246" spans="1:2" x14ac:dyDescent="0.25">
      <c r="A1246" s="170"/>
      <c r="B1246" s="170"/>
    </row>
    <row r="1247" spans="1:2" x14ac:dyDescent="0.25">
      <c r="A1247" s="170"/>
      <c r="B1247" s="170"/>
    </row>
    <row r="1248" spans="1:2" x14ac:dyDescent="0.25">
      <c r="A1248" s="170"/>
      <c r="B1248" s="170"/>
    </row>
    <row r="1249" spans="1:2" x14ac:dyDescent="0.25">
      <c r="A1249" s="170"/>
      <c r="B1249" s="170"/>
    </row>
    <row r="1250" spans="1:2" x14ac:dyDescent="0.25">
      <c r="A1250" s="170"/>
      <c r="B1250" s="170"/>
    </row>
    <row r="1251" spans="1:2" x14ac:dyDescent="0.25">
      <c r="A1251" s="170"/>
      <c r="B1251" s="170"/>
    </row>
    <row r="1252" spans="1:2" x14ac:dyDescent="0.25">
      <c r="A1252" s="170"/>
      <c r="B1252" s="170"/>
    </row>
    <row r="1253" spans="1:2" x14ac:dyDescent="0.25">
      <c r="A1253" s="170"/>
      <c r="B1253" s="170"/>
    </row>
    <row r="1254" spans="1:2" x14ac:dyDescent="0.25">
      <c r="A1254" s="170"/>
      <c r="B1254" s="170"/>
    </row>
    <row r="1255" spans="1:2" x14ac:dyDescent="0.25">
      <c r="A1255" s="170"/>
      <c r="B1255" s="170"/>
    </row>
    <row r="1256" spans="1:2" x14ac:dyDescent="0.25">
      <c r="A1256" s="170"/>
      <c r="B1256" s="170"/>
    </row>
    <row r="1257" spans="1:2" x14ac:dyDescent="0.25">
      <c r="A1257" s="170"/>
      <c r="B1257" s="170"/>
    </row>
    <row r="1258" spans="1:2" x14ac:dyDescent="0.25">
      <c r="A1258" s="170"/>
      <c r="B1258" s="170"/>
    </row>
    <row r="1259" spans="1:2" x14ac:dyDescent="0.25">
      <c r="A1259" s="170"/>
      <c r="B1259" s="170"/>
    </row>
    <row r="1260" spans="1:2" x14ac:dyDescent="0.25">
      <c r="A1260" s="170"/>
      <c r="B1260" s="170"/>
    </row>
    <row r="1261" spans="1:2" x14ac:dyDescent="0.25">
      <c r="A1261" s="170"/>
      <c r="B1261" s="170"/>
    </row>
    <row r="1262" spans="1:2" x14ac:dyDescent="0.25">
      <c r="A1262" s="170"/>
      <c r="B1262" s="170"/>
    </row>
    <row r="1263" spans="1:2" x14ac:dyDescent="0.25">
      <c r="A1263" s="170"/>
      <c r="B1263" s="170"/>
    </row>
    <row r="1264" spans="1:2" x14ac:dyDescent="0.25">
      <c r="A1264" s="170"/>
      <c r="B1264" s="170"/>
    </row>
    <row r="1265" spans="1:2" x14ac:dyDescent="0.25">
      <c r="A1265" s="170"/>
      <c r="B1265" s="170"/>
    </row>
    <row r="1266" spans="1:2" x14ac:dyDescent="0.25">
      <c r="A1266" s="170"/>
      <c r="B1266" s="170"/>
    </row>
    <row r="1267" spans="1:2" x14ac:dyDescent="0.25">
      <c r="A1267" s="170"/>
      <c r="B1267" s="170"/>
    </row>
    <row r="1268" spans="1:2" x14ac:dyDescent="0.25">
      <c r="A1268" s="170"/>
      <c r="B1268" s="170"/>
    </row>
    <row r="1269" spans="1:2" x14ac:dyDescent="0.25">
      <c r="A1269" s="170"/>
      <c r="B1269" s="170"/>
    </row>
    <row r="1270" spans="1:2" x14ac:dyDescent="0.25">
      <c r="A1270" s="170"/>
      <c r="B1270" s="170"/>
    </row>
    <row r="1271" spans="1:2" x14ac:dyDescent="0.25">
      <c r="A1271" s="170"/>
      <c r="B1271" s="170"/>
    </row>
    <row r="1272" spans="1:2" x14ac:dyDescent="0.25">
      <c r="A1272" s="170"/>
      <c r="B1272" s="170"/>
    </row>
    <row r="1273" spans="1:2" x14ac:dyDescent="0.25">
      <c r="A1273" s="170"/>
      <c r="B1273" s="170"/>
    </row>
    <row r="1274" spans="1:2" x14ac:dyDescent="0.25">
      <c r="A1274" s="170"/>
      <c r="B1274" s="170"/>
    </row>
    <row r="1275" spans="1:2" x14ac:dyDescent="0.25">
      <c r="A1275" s="170"/>
      <c r="B1275" s="170"/>
    </row>
    <row r="1276" spans="1:2" x14ac:dyDescent="0.25">
      <c r="A1276" s="170"/>
      <c r="B1276" s="170"/>
    </row>
    <row r="1277" spans="1:2" x14ac:dyDescent="0.25">
      <c r="A1277" s="170"/>
      <c r="B1277" s="170"/>
    </row>
    <row r="1278" spans="1:2" x14ac:dyDescent="0.25">
      <c r="A1278" s="170"/>
      <c r="B1278" s="170"/>
    </row>
    <row r="1279" spans="1:2" x14ac:dyDescent="0.25">
      <c r="A1279" s="170"/>
      <c r="B1279" s="170"/>
    </row>
    <row r="1280" spans="1:2" x14ac:dyDescent="0.25">
      <c r="A1280" s="170"/>
      <c r="B1280" s="170"/>
    </row>
    <row r="1281" spans="1:2" x14ac:dyDescent="0.25">
      <c r="A1281" s="170"/>
      <c r="B1281" s="170"/>
    </row>
    <row r="1282" spans="1:2" x14ac:dyDescent="0.25">
      <c r="A1282" s="170"/>
      <c r="B1282" s="170"/>
    </row>
    <row r="1283" spans="1:2" x14ac:dyDescent="0.25">
      <c r="A1283" s="170"/>
      <c r="B1283" s="170"/>
    </row>
    <row r="1284" spans="1:2" x14ac:dyDescent="0.25">
      <c r="A1284" s="170"/>
      <c r="B1284" s="170"/>
    </row>
    <row r="1285" spans="1:2" x14ac:dyDescent="0.25">
      <c r="A1285" s="170"/>
      <c r="B1285" s="170"/>
    </row>
    <row r="1286" spans="1:2" x14ac:dyDescent="0.25">
      <c r="A1286" s="170"/>
      <c r="B1286" s="170"/>
    </row>
    <row r="1287" spans="1:2" x14ac:dyDescent="0.25">
      <c r="A1287" s="170"/>
      <c r="B1287" s="170"/>
    </row>
    <row r="1288" spans="1:2" x14ac:dyDescent="0.25">
      <c r="A1288" s="170"/>
      <c r="B1288" s="170"/>
    </row>
    <row r="1289" spans="1:2" x14ac:dyDescent="0.25">
      <c r="A1289" s="170"/>
      <c r="B1289" s="170"/>
    </row>
    <row r="1290" spans="1:2" x14ac:dyDescent="0.25">
      <c r="A1290" s="170"/>
      <c r="B1290" s="170"/>
    </row>
    <row r="1291" spans="1:2" x14ac:dyDescent="0.25">
      <c r="A1291" s="170"/>
      <c r="B1291" s="170"/>
    </row>
    <row r="1292" spans="1:2" x14ac:dyDescent="0.25">
      <c r="A1292" s="170"/>
      <c r="B1292" s="170"/>
    </row>
    <row r="1293" spans="1:2" x14ac:dyDescent="0.25">
      <c r="A1293" s="170"/>
      <c r="B1293" s="170"/>
    </row>
    <row r="1294" spans="1:2" x14ac:dyDescent="0.25">
      <c r="A1294" s="170"/>
      <c r="B1294" s="170"/>
    </row>
    <row r="1295" spans="1:2" x14ac:dyDescent="0.25">
      <c r="A1295" s="170"/>
      <c r="B1295" s="170"/>
    </row>
    <row r="1296" spans="1:2" x14ac:dyDescent="0.25">
      <c r="A1296" s="170"/>
      <c r="B1296" s="170"/>
    </row>
    <row r="1297" spans="1:2" x14ac:dyDescent="0.25">
      <c r="A1297" s="170"/>
      <c r="B1297" s="170"/>
    </row>
    <row r="1298" spans="1:2" x14ac:dyDescent="0.25">
      <c r="A1298" s="170"/>
      <c r="B1298" s="170"/>
    </row>
    <row r="1299" spans="1:2" x14ac:dyDescent="0.25">
      <c r="A1299" s="170"/>
      <c r="B1299" s="170"/>
    </row>
    <row r="1300" spans="1:2" x14ac:dyDescent="0.25">
      <c r="A1300" s="170"/>
      <c r="B1300" s="170"/>
    </row>
    <row r="1301" spans="1:2" x14ac:dyDescent="0.25">
      <c r="A1301" s="170"/>
      <c r="B1301" s="170"/>
    </row>
    <row r="1302" spans="1:2" x14ac:dyDescent="0.25">
      <c r="A1302" s="170"/>
      <c r="B1302" s="170"/>
    </row>
    <row r="1303" spans="1:2" x14ac:dyDescent="0.25">
      <c r="A1303" s="170"/>
      <c r="B1303" s="170"/>
    </row>
    <row r="1304" spans="1:2" x14ac:dyDescent="0.25">
      <c r="A1304" s="170"/>
      <c r="B1304" s="170"/>
    </row>
    <row r="1305" spans="1:2" x14ac:dyDescent="0.25">
      <c r="A1305" s="170"/>
      <c r="B1305" s="170"/>
    </row>
    <row r="1306" spans="1:2" x14ac:dyDescent="0.25">
      <c r="A1306" s="170"/>
      <c r="B1306" s="170"/>
    </row>
    <row r="1307" spans="1:2" x14ac:dyDescent="0.25">
      <c r="A1307" s="170"/>
      <c r="B1307" s="170"/>
    </row>
    <row r="1308" spans="1:2" x14ac:dyDescent="0.25">
      <c r="A1308" s="170"/>
      <c r="B1308" s="170"/>
    </row>
    <row r="1309" spans="1:2" x14ac:dyDescent="0.25">
      <c r="A1309" s="170"/>
      <c r="B1309" s="170"/>
    </row>
    <row r="1310" spans="1:2" x14ac:dyDescent="0.25">
      <c r="A1310" s="170"/>
      <c r="B1310" s="170"/>
    </row>
    <row r="1311" spans="1:2" x14ac:dyDescent="0.25">
      <c r="A1311" s="170"/>
      <c r="B1311" s="170"/>
    </row>
    <row r="1312" spans="1:2" x14ac:dyDescent="0.25">
      <c r="A1312" s="170"/>
      <c r="B1312" s="170"/>
    </row>
    <row r="1313" spans="1:2" x14ac:dyDescent="0.25">
      <c r="A1313" s="170"/>
      <c r="B1313" s="170"/>
    </row>
    <row r="1314" spans="1:2" x14ac:dyDescent="0.25">
      <c r="A1314" s="170"/>
      <c r="B1314" s="170"/>
    </row>
    <row r="1315" spans="1:2" x14ac:dyDescent="0.25">
      <c r="A1315" s="170"/>
      <c r="B1315" s="170"/>
    </row>
    <row r="1316" spans="1:2" x14ac:dyDescent="0.25">
      <c r="A1316" s="170"/>
      <c r="B1316" s="170"/>
    </row>
    <row r="1317" spans="1:2" x14ac:dyDescent="0.25">
      <c r="A1317" s="170"/>
      <c r="B1317" s="170"/>
    </row>
    <row r="1318" spans="1:2" x14ac:dyDescent="0.25">
      <c r="A1318" s="170"/>
      <c r="B1318" s="170"/>
    </row>
    <row r="1319" spans="1:2" x14ac:dyDescent="0.25">
      <c r="A1319" s="170"/>
      <c r="B1319" s="170"/>
    </row>
    <row r="1320" spans="1:2" x14ac:dyDescent="0.25">
      <c r="A1320" s="170"/>
      <c r="B1320" s="170"/>
    </row>
    <row r="1321" spans="1:2" x14ac:dyDescent="0.25">
      <c r="A1321" s="170"/>
      <c r="B1321" s="170"/>
    </row>
    <row r="1322" spans="1:2" x14ac:dyDescent="0.25">
      <c r="A1322" s="170"/>
      <c r="B1322" s="170"/>
    </row>
    <row r="1323" spans="1:2" x14ac:dyDescent="0.25">
      <c r="A1323" s="170"/>
      <c r="B1323" s="170"/>
    </row>
    <row r="1324" spans="1:2" x14ac:dyDescent="0.25">
      <c r="A1324" s="170"/>
      <c r="B1324" s="170"/>
    </row>
    <row r="1325" spans="1:2" x14ac:dyDescent="0.25">
      <c r="A1325" s="170"/>
      <c r="B1325" s="170"/>
    </row>
    <row r="1326" spans="1:2" x14ac:dyDescent="0.25">
      <c r="A1326" s="170"/>
      <c r="B1326" s="170"/>
    </row>
    <row r="1327" spans="1:2" x14ac:dyDescent="0.25">
      <c r="A1327" s="170"/>
      <c r="B1327" s="170"/>
    </row>
    <row r="1328" spans="1:2" x14ac:dyDescent="0.25">
      <c r="A1328" s="170"/>
      <c r="B1328" s="170"/>
    </row>
    <row r="1329" spans="1:2" x14ac:dyDescent="0.25">
      <c r="A1329" s="170"/>
      <c r="B1329" s="170"/>
    </row>
    <row r="1330" spans="1:2" x14ac:dyDescent="0.25">
      <c r="A1330" s="170"/>
      <c r="B1330" s="170"/>
    </row>
    <row r="1331" spans="1:2" x14ac:dyDescent="0.25">
      <c r="A1331" s="170"/>
      <c r="B1331" s="170"/>
    </row>
    <row r="1332" spans="1:2" x14ac:dyDescent="0.25">
      <c r="A1332" s="170"/>
      <c r="B1332" s="170"/>
    </row>
    <row r="1333" spans="1:2" x14ac:dyDescent="0.25">
      <c r="A1333" s="170"/>
      <c r="B1333" s="170"/>
    </row>
    <row r="1334" spans="1:2" x14ac:dyDescent="0.25">
      <c r="A1334" s="170"/>
      <c r="B1334" s="170"/>
    </row>
    <row r="1335" spans="1:2" x14ac:dyDescent="0.25">
      <c r="A1335" s="170"/>
      <c r="B1335" s="170"/>
    </row>
    <row r="1336" spans="1:2" x14ac:dyDescent="0.25">
      <c r="A1336" s="170"/>
      <c r="B1336" s="170"/>
    </row>
    <row r="1337" spans="1:2" x14ac:dyDescent="0.25">
      <c r="A1337" s="170"/>
      <c r="B1337" s="170"/>
    </row>
    <row r="1338" spans="1:2" x14ac:dyDescent="0.25">
      <c r="A1338" s="170"/>
      <c r="B1338" s="170"/>
    </row>
    <row r="1339" spans="1:2" x14ac:dyDescent="0.25">
      <c r="A1339" s="170"/>
      <c r="B1339" s="170"/>
    </row>
    <row r="1340" spans="1:2" x14ac:dyDescent="0.25">
      <c r="A1340" s="170"/>
      <c r="B1340" s="170"/>
    </row>
    <row r="1341" spans="1:2" x14ac:dyDescent="0.25">
      <c r="A1341" s="170"/>
      <c r="B1341" s="170"/>
    </row>
    <row r="1342" spans="1:2" x14ac:dyDescent="0.25">
      <c r="A1342" s="170"/>
      <c r="B1342" s="170"/>
    </row>
    <row r="1343" spans="1:2" x14ac:dyDescent="0.25">
      <c r="A1343" s="170"/>
      <c r="B1343" s="170"/>
    </row>
    <row r="1344" spans="1:2" x14ac:dyDescent="0.25">
      <c r="A1344" s="170"/>
      <c r="B1344" s="170"/>
    </row>
    <row r="1345" spans="1:2" x14ac:dyDescent="0.25">
      <c r="A1345" s="170"/>
      <c r="B1345" s="170"/>
    </row>
    <row r="1346" spans="1:2" x14ac:dyDescent="0.25">
      <c r="A1346" s="170"/>
      <c r="B1346" s="170"/>
    </row>
    <row r="1347" spans="1:2" x14ac:dyDescent="0.25">
      <c r="A1347" s="170"/>
      <c r="B1347" s="170"/>
    </row>
    <row r="1348" spans="1:2" x14ac:dyDescent="0.25">
      <c r="A1348" s="170"/>
      <c r="B1348" s="170"/>
    </row>
    <row r="1349" spans="1:2" x14ac:dyDescent="0.25">
      <c r="A1349" s="170"/>
      <c r="B1349" s="170"/>
    </row>
    <row r="1350" spans="1:2" x14ac:dyDescent="0.25">
      <c r="A1350" s="170"/>
      <c r="B1350" s="170"/>
    </row>
    <row r="1351" spans="1:2" x14ac:dyDescent="0.25">
      <c r="A1351" s="170"/>
      <c r="B1351" s="170"/>
    </row>
    <row r="1352" spans="1:2" x14ac:dyDescent="0.25">
      <c r="A1352" s="170"/>
      <c r="B1352" s="170"/>
    </row>
    <row r="1353" spans="1:2" x14ac:dyDescent="0.25">
      <c r="A1353" s="170"/>
      <c r="B1353" s="170"/>
    </row>
    <row r="1354" spans="1:2" x14ac:dyDescent="0.25">
      <c r="A1354" s="170"/>
      <c r="B1354" s="170"/>
    </row>
    <row r="1355" spans="1:2" x14ac:dyDescent="0.25">
      <c r="A1355" s="170"/>
      <c r="B1355" s="170"/>
    </row>
    <row r="1356" spans="1:2" x14ac:dyDescent="0.25">
      <c r="A1356" s="170"/>
      <c r="B1356" s="170"/>
    </row>
    <row r="1357" spans="1:2" x14ac:dyDescent="0.25">
      <c r="A1357" s="170"/>
      <c r="B1357" s="170"/>
    </row>
    <row r="1358" spans="1:2" x14ac:dyDescent="0.25">
      <c r="A1358" s="170"/>
      <c r="B1358" s="170"/>
    </row>
    <row r="1359" spans="1:2" x14ac:dyDescent="0.25">
      <c r="A1359" s="170"/>
      <c r="B1359" s="170"/>
    </row>
    <row r="1360" spans="1:2" x14ac:dyDescent="0.25">
      <c r="A1360" s="170"/>
      <c r="B1360" s="170"/>
    </row>
    <row r="1361" spans="1:2" x14ac:dyDescent="0.25">
      <c r="A1361" s="170"/>
      <c r="B1361" s="170"/>
    </row>
    <row r="1362" spans="1:2" x14ac:dyDescent="0.25">
      <c r="A1362" s="170"/>
      <c r="B1362" s="170"/>
    </row>
    <row r="1363" spans="1:2" x14ac:dyDescent="0.25">
      <c r="A1363" s="170"/>
      <c r="B1363" s="170"/>
    </row>
    <row r="1364" spans="1:2" x14ac:dyDescent="0.25">
      <c r="A1364" s="170"/>
      <c r="B1364" s="170"/>
    </row>
    <row r="1365" spans="1:2" x14ac:dyDescent="0.25">
      <c r="A1365" s="170"/>
      <c r="B1365" s="170"/>
    </row>
    <row r="1366" spans="1:2" x14ac:dyDescent="0.25">
      <c r="A1366" s="170"/>
      <c r="B1366" s="170"/>
    </row>
    <row r="1367" spans="1:2" x14ac:dyDescent="0.25">
      <c r="A1367" s="170"/>
      <c r="B1367" s="170"/>
    </row>
    <row r="1368" spans="1:2" x14ac:dyDescent="0.25">
      <c r="A1368" s="170"/>
      <c r="B1368" s="170"/>
    </row>
    <row r="1369" spans="1:2" x14ac:dyDescent="0.25">
      <c r="A1369" s="170"/>
      <c r="B1369" s="170"/>
    </row>
    <row r="1370" spans="1:2" x14ac:dyDescent="0.25">
      <c r="A1370" s="170"/>
      <c r="B1370" s="170"/>
    </row>
    <row r="1371" spans="1:2" x14ac:dyDescent="0.25">
      <c r="A1371" s="170"/>
      <c r="B1371" s="170"/>
    </row>
    <row r="1372" spans="1:2" x14ac:dyDescent="0.25">
      <c r="A1372" s="170"/>
      <c r="B1372" s="170"/>
    </row>
    <row r="1373" spans="1:2" x14ac:dyDescent="0.25">
      <c r="A1373" s="170"/>
      <c r="B1373" s="170"/>
    </row>
    <row r="1374" spans="1:2" x14ac:dyDescent="0.25">
      <c r="A1374" s="170"/>
      <c r="B1374" s="170"/>
    </row>
    <row r="1375" spans="1:2" x14ac:dyDescent="0.25">
      <c r="A1375" s="170"/>
      <c r="B1375" s="170"/>
    </row>
    <row r="1376" spans="1:2" x14ac:dyDescent="0.25">
      <c r="A1376" s="170"/>
      <c r="B1376" s="170"/>
    </row>
    <row r="1377" spans="1:2" x14ac:dyDescent="0.25">
      <c r="A1377" s="170"/>
      <c r="B1377" s="170"/>
    </row>
    <row r="1378" spans="1:2" x14ac:dyDescent="0.25">
      <c r="A1378" s="170"/>
      <c r="B1378" s="170"/>
    </row>
    <row r="1379" spans="1:2" x14ac:dyDescent="0.25">
      <c r="A1379" s="170"/>
      <c r="B1379" s="170"/>
    </row>
    <row r="1380" spans="1:2" x14ac:dyDescent="0.25">
      <c r="A1380" s="170"/>
      <c r="B1380" s="170"/>
    </row>
    <row r="1381" spans="1:2" x14ac:dyDescent="0.25">
      <c r="A1381" s="170"/>
      <c r="B1381" s="170"/>
    </row>
    <row r="1382" spans="1:2" x14ac:dyDescent="0.25">
      <c r="A1382" s="170"/>
      <c r="B1382" s="170"/>
    </row>
    <row r="1383" spans="1:2" x14ac:dyDescent="0.25">
      <c r="A1383" s="170"/>
      <c r="B1383" s="170"/>
    </row>
    <row r="1384" spans="1:2" x14ac:dyDescent="0.25">
      <c r="A1384" s="170"/>
      <c r="B1384" s="170"/>
    </row>
    <row r="1385" spans="1:2" x14ac:dyDescent="0.25">
      <c r="A1385" s="170"/>
      <c r="B1385" s="170"/>
    </row>
    <row r="1386" spans="1:2" x14ac:dyDescent="0.25">
      <c r="A1386" s="170"/>
      <c r="B1386" s="170"/>
    </row>
    <row r="1387" spans="1:2" x14ac:dyDescent="0.25">
      <c r="A1387" s="170"/>
      <c r="B1387" s="170"/>
    </row>
    <row r="1388" spans="1:2" x14ac:dyDescent="0.25">
      <c r="A1388" s="170"/>
      <c r="B1388" s="170"/>
    </row>
    <row r="1389" spans="1:2" x14ac:dyDescent="0.25">
      <c r="A1389" s="170"/>
      <c r="B1389" s="170"/>
    </row>
    <row r="1390" spans="1:2" x14ac:dyDescent="0.25">
      <c r="A1390" s="170"/>
      <c r="B1390" s="170"/>
    </row>
    <row r="1391" spans="1:2" x14ac:dyDescent="0.25">
      <c r="A1391" s="170"/>
      <c r="B1391" s="170"/>
    </row>
    <row r="1392" spans="1:2" x14ac:dyDescent="0.25">
      <c r="A1392" s="170"/>
      <c r="B1392" s="170"/>
    </row>
    <row r="1393" spans="1:2" x14ac:dyDescent="0.25">
      <c r="A1393" s="170"/>
      <c r="B1393" s="170"/>
    </row>
    <row r="1394" spans="1:2" x14ac:dyDescent="0.25">
      <c r="A1394" s="170"/>
      <c r="B1394" s="170"/>
    </row>
    <row r="1395" spans="1:2" x14ac:dyDescent="0.25">
      <c r="A1395" s="170"/>
      <c r="B1395" s="170"/>
    </row>
    <row r="1396" spans="1:2" x14ac:dyDescent="0.25">
      <c r="A1396" s="170"/>
      <c r="B1396" s="170"/>
    </row>
    <row r="1397" spans="1:2" x14ac:dyDescent="0.25">
      <c r="A1397" s="170"/>
      <c r="B1397" s="170"/>
    </row>
    <row r="1398" spans="1:2" x14ac:dyDescent="0.25">
      <c r="A1398" s="170"/>
      <c r="B1398" s="170"/>
    </row>
    <row r="1399" spans="1:2" x14ac:dyDescent="0.25">
      <c r="A1399" s="170"/>
      <c r="B1399" s="170"/>
    </row>
    <row r="1400" spans="1:2" x14ac:dyDescent="0.25">
      <c r="A1400" s="170"/>
      <c r="B1400" s="170"/>
    </row>
    <row r="1401" spans="1:2" x14ac:dyDescent="0.25">
      <c r="A1401" s="170"/>
      <c r="B1401" s="170"/>
    </row>
    <row r="1402" spans="1:2" x14ac:dyDescent="0.25">
      <c r="A1402" s="170"/>
      <c r="B1402" s="170"/>
    </row>
    <row r="1403" spans="1:2" x14ac:dyDescent="0.25">
      <c r="A1403" s="170"/>
      <c r="B1403" s="170"/>
    </row>
    <row r="1404" spans="1:2" x14ac:dyDescent="0.25">
      <c r="A1404" s="170"/>
      <c r="B1404" s="170"/>
    </row>
    <row r="1405" spans="1:2" x14ac:dyDescent="0.25">
      <c r="A1405" s="170"/>
      <c r="B1405" s="170"/>
    </row>
    <row r="1406" spans="1:2" x14ac:dyDescent="0.25">
      <c r="A1406" s="170"/>
      <c r="B1406" s="170"/>
    </row>
    <row r="1407" spans="1:2" x14ac:dyDescent="0.25">
      <c r="A1407" s="170"/>
      <c r="B1407" s="170"/>
    </row>
    <row r="1408" spans="1:2" x14ac:dyDescent="0.25">
      <c r="A1408" s="170"/>
      <c r="B1408" s="170"/>
    </row>
    <row r="1409" spans="1:2" x14ac:dyDescent="0.25">
      <c r="A1409" s="170"/>
      <c r="B1409" s="170"/>
    </row>
    <row r="1410" spans="1:2" x14ac:dyDescent="0.25">
      <c r="A1410" s="170"/>
      <c r="B1410" s="170"/>
    </row>
    <row r="1411" spans="1:2" x14ac:dyDescent="0.25">
      <c r="A1411" s="170"/>
      <c r="B1411" s="170"/>
    </row>
    <row r="1412" spans="1:2" x14ac:dyDescent="0.25">
      <c r="A1412" s="170"/>
      <c r="B1412" s="170"/>
    </row>
    <row r="1413" spans="1:2" x14ac:dyDescent="0.25">
      <c r="A1413" s="170"/>
      <c r="B1413" s="170"/>
    </row>
    <row r="1414" spans="1:2" x14ac:dyDescent="0.25">
      <c r="A1414" s="170"/>
      <c r="B1414" s="170"/>
    </row>
    <row r="1415" spans="1:2" x14ac:dyDescent="0.25">
      <c r="A1415" s="170"/>
      <c r="B1415" s="170"/>
    </row>
    <row r="1416" spans="1:2" x14ac:dyDescent="0.25">
      <c r="A1416" s="170"/>
      <c r="B1416" s="170"/>
    </row>
    <row r="1417" spans="1:2" x14ac:dyDescent="0.25">
      <c r="A1417" s="170"/>
      <c r="B1417" s="170"/>
    </row>
    <row r="1418" spans="1:2" x14ac:dyDescent="0.25">
      <c r="A1418" s="170"/>
      <c r="B1418" s="170"/>
    </row>
    <row r="1419" spans="1:2" x14ac:dyDescent="0.25">
      <c r="A1419" s="170"/>
      <c r="B1419" s="170"/>
    </row>
    <row r="1420" spans="1:2" x14ac:dyDescent="0.25">
      <c r="A1420" s="170"/>
      <c r="B1420" s="170"/>
    </row>
    <row r="1421" spans="1:2" x14ac:dyDescent="0.25">
      <c r="A1421" s="170"/>
      <c r="B1421" s="170"/>
    </row>
    <row r="1422" spans="1:2" x14ac:dyDescent="0.25">
      <c r="A1422" s="170"/>
      <c r="B1422" s="170"/>
    </row>
    <row r="1423" spans="1:2" x14ac:dyDescent="0.25">
      <c r="A1423" s="170"/>
      <c r="B1423" s="170"/>
    </row>
    <row r="1424" spans="1:2" x14ac:dyDescent="0.25">
      <c r="A1424" s="170"/>
      <c r="B1424" s="170"/>
    </row>
    <row r="1425" spans="1:2" x14ac:dyDescent="0.25">
      <c r="A1425" s="170"/>
      <c r="B1425" s="170"/>
    </row>
    <row r="1426" spans="1:2" x14ac:dyDescent="0.25">
      <c r="A1426" s="170"/>
      <c r="B1426" s="170"/>
    </row>
    <row r="1427" spans="1:2" x14ac:dyDescent="0.25">
      <c r="A1427" s="170"/>
      <c r="B1427" s="170"/>
    </row>
    <row r="1428" spans="1:2" x14ac:dyDescent="0.25">
      <c r="A1428" s="170"/>
      <c r="B1428" s="170"/>
    </row>
    <row r="1429" spans="1:2" x14ac:dyDescent="0.25">
      <c r="A1429" s="170"/>
      <c r="B1429" s="170"/>
    </row>
    <row r="1430" spans="1:2" x14ac:dyDescent="0.25">
      <c r="A1430" s="170"/>
      <c r="B1430" s="170"/>
    </row>
    <row r="1431" spans="1:2" x14ac:dyDescent="0.25">
      <c r="A1431" s="170"/>
      <c r="B1431" s="170"/>
    </row>
    <row r="1432" spans="1:2" x14ac:dyDescent="0.25">
      <c r="A1432" s="170"/>
      <c r="B1432" s="170"/>
    </row>
    <row r="1433" spans="1:2" x14ac:dyDescent="0.25">
      <c r="A1433" s="170"/>
      <c r="B1433" s="170"/>
    </row>
    <row r="1434" spans="1:2" x14ac:dyDescent="0.25">
      <c r="A1434" s="170"/>
      <c r="B1434" s="170"/>
    </row>
    <row r="1435" spans="1:2" x14ac:dyDescent="0.25">
      <c r="A1435" s="170"/>
      <c r="B1435" s="170"/>
    </row>
    <row r="1436" spans="1:2" x14ac:dyDescent="0.25">
      <c r="A1436" s="170"/>
      <c r="B1436" s="170"/>
    </row>
    <row r="1437" spans="1:2" x14ac:dyDescent="0.25">
      <c r="A1437" s="170"/>
      <c r="B1437" s="170"/>
    </row>
    <row r="1438" spans="1:2" x14ac:dyDescent="0.25">
      <c r="A1438" s="170"/>
      <c r="B1438" s="170"/>
    </row>
    <row r="1439" spans="1:2" x14ac:dyDescent="0.25">
      <c r="A1439" s="170"/>
      <c r="B1439" s="170"/>
    </row>
    <row r="1440" spans="1:2" x14ac:dyDescent="0.25">
      <c r="A1440" s="170"/>
      <c r="B1440" s="170"/>
    </row>
    <row r="1441" spans="1:2" x14ac:dyDescent="0.25">
      <c r="A1441" s="170"/>
      <c r="B1441" s="170"/>
    </row>
    <row r="1442" spans="1:2" x14ac:dyDescent="0.25">
      <c r="A1442" s="170"/>
      <c r="B1442" s="170"/>
    </row>
    <row r="1443" spans="1:2" x14ac:dyDescent="0.25">
      <c r="A1443" s="170"/>
      <c r="B1443" s="170"/>
    </row>
    <row r="1444" spans="1:2" x14ac:dyDescent="0.25">
      <c r="A1444" s="170"/>
      <c r="B1444" s="170"/>
    </row>
    <row r="1445" spans="1:2" x14ac:dyDescent="0.25">
      <c r="A1445" s="170"/>
      <c r="B1445" s="170"/>
    </row>
    <row r="1446" spans="1:2" x14ac:dyDescent="0.25">
      <c r="A1446" s="170"/>
      <c r="B1446" s="170"/>
    </row>
    <row r="1447" spans="1:2" x14ac:dyDescent="0.25">
      <c r="A1447" s="170"/>
      <c r="B1447" s="170"/>
    </row>
    <row r="1448" spans="1:2" x14ac:dyDescent="0.25">
      <c r="A1448" s="170"/>
      <c r="B1448" s="170"/>
    </row>
    <row r="1449" spans="1:2" x14ac:dyDescent="0.25">
      <c r="A1449" s="170"/>
      <c r="B1449" s="170"/>
    </row>
    <row r="1450" spans="1:2" x14ac:dyDescent="0.25">
      <c r="A1450" s="170"/>
      <c r="B1450" s="170"/>
    </row>
    <row r="1451" spans="1:2" x14ac:dyDescent="0.25">
      <c r="A1451" s="170"/>
      <c r="B1451" s="170"/>
    </row>
    <row r="1452" spans="1:2" x14ac:dyDescent="0.25">
      <c r="A1452" s="170"/>
      <c r="B1452" s="170"/>
    </row>
    <row r="1453" spans="1:2" x14ac:dyDescent="0.25">
      <c r="A1453" s="170"/>
      <c r="B1453" s="170"/>
    </row>
    <row r="1454" spans="1:2" x14ac:dyDescent="0.25">
      <c r="A1454" s="170"/>
      <c r="B1454" s="170"/>
    </row>
    <row r="1455" spans="1:2" x14ac:dyDescent="0.25">
      <c r="A1455" s="170"/>
      <c r="B1455" s="170"/>
    </row>
    <row r="1456" spans="1:2" x14ac:dyDescent="0.25">
      <c r="A1456" s="170"/>
      <c r="B1456" s="170"/>
    </row>
    <row r="1457" spans="1:2" x14ac:dyDescent="0.25">
      <c r="A1457" s="170"/>
      <c r="B1457" s="170"/>
    </row>
    <row r="1458" spans="1:2" x14ac:dyDescent="0.25">
      <c r="A1458" s="170"/>
      <c r="B1458" s="170"/>
    </row>
    <row r="1459" spans="1:2" x14ac:dyDescent="0.25">
      <c r="A1459" s="170"/>
      <c r="B1459" s="170"/>
    </row>
    <row r="1460" spans="1:2" x14ac:dyDescent="0.25">
      <c r="A1460" s="170"/>
      <c r="B1460" s="170"/>
    </row>
    <row r="1461" spans="1:2" x14ac:dyDescent="0.25">
      <c r="A1461" s="170"/>
      <c r="B1461" s="170"/>
    </row>
    <row r="1462" spans="1:2" x14ac:dyDescent="0.25">
      <c r="A1462" s="170"/>
      <c r="B1462" s="170"/>
    </row>
    <row r="1463" spans="1:2" x14ac:dyDescent="0.25">
      <c r="A1463" s="170"/>
      <c r="B1463" s="170"/>
    </row>
    <row r="1464" spans="1:2" x14ac:dyDescent="0.25">
      <c r="A1464" s="170"/>
      <c r="B1464" s="170"/>
    </row>
    <row r="1465" spans="1:2" x14ac:dyDescent="0.25">
      <c r="A1465" s="170"/>
      <c r="B1465" s="170"/>
    </row>
    <row r="1466" spans="1:2" x14ac:dyDescent="0.25">
      <c r="A1466" s="170"/>
      <c r="B1466" s="170"/>
    </row>
    <row r="1467" spans="1:2" x14ac:dyDescent="0.25">
      <c r="A1467" s="170"/>
      <c r="B1467" s="170"/>
    </row>
    <row r="1468" spans="1:2" x14ac:dyDescent="0.25">
      <c r="A1468" s="170"/>
      <c r="B1468" s="170"/>
    </row>
    <row r="1469" spans="1:2" x14ac:dyDescent="0.25">
      <c r="A1469" s="170"/>
      <c r="B1469" s="170"/>
    </row>
    <row r="1470" spans="1:2" x14ac:dyDescent="0.25">
      <c r="A1470" s="170"/>
      <c r="B1470" s="170"/>
    </row>
    <row r="1471" spans="1:2" x14ac:dyDescent="0.25">
      <c r="A1471" s="170"/>
      <c r="B1471" s="170"/>
    </row>
    <row r="1472" spans="1:2" x14ac:dyDescent="0.25">
      <c r="A1472" s="170"/>
      <c r="B1472" s="170"/>
    </row>
    <row r="1473" spans="1:2" x14ac:dyDescent="0.25">
      <c r="A1473" s="170"/>
      <c r="B1473" s="170"/>
    </row>
    <row r="1474" spans="1:2" x14ac:dyDescent="0.25">
      <c r="A1474" s="170"/>
      <c r="B1474" s="170"/>
    </row>
    <row r="1475" spans="1:2" x14ac:dyDescent="0.25">
      <c r="A1475" s="170"/>
      <c r="B1475" s="170"/>
    </row>
    <row r="1476" spans="1:2" x14ac:dyDescent="0.25">
      <c r="A1476" s="170"/>
      <c r="B1476" s="170"/>
    </row>
    <row r="1477" spans="1:2" x14ac:dyDescent="0.25">
      <c r="A1477" s="170"/>
      <c r="B1477" s="170"/>
    </row>
    <row r="1478" spans="1:2" x14ac:dyDescent="0.25">
      <c r="A1478" s="170"/>
      <c r="B1478" s="170"/>
    </row>
    <row r="1479" spans="1:2" x14ac:dyDescent="0.25">
      <c r="A1479" s="170"/>
      <c r="B1479" s="170"/>
    </row>
    <row r="1480" spans="1:2" x14ac:dyDescent="0.25">
      <c r="A1480" s="170"/>
      <c r="B1480" s="170"/>
    </row>
    <row r="1481" spans="1:2" x14ac:dyDescent="0.25">
      <c r="A1481" s="170"/>
      <c r="B1481" s="170"/>
    </row>
    <row r="1482" spans="1:2" x14ac:dyDescent="0.25">
      <c r="A1482" s="170"/>
      <c r="B1482" s="170"/>
    </row>
    <row r="1483" spans="1:2" x14ac:dyDescent="0.25">
      <c r="A1483" s="170"/>
      <c r="B1483" s="170"/>
    </row>
    <row r="1484" spans="1:2" x14ac:dyDescent="0.25">
      <c r="A1484" s="170"/>
      <c r="B1484" s="170"/>
    </row>
    <row r="1485" spans="1:2" x14ac:dyDescent="0.25">
      <c r="A1485" s="170"/>
      <c r="B1485" s="170"/>
    </row>
    <row r="1486" spans="1:2" x14ac:dyDescent="0.25">
      <c r="A1486" s="170"/>
      <c r="B1486" s="170"/>
    </row>
    <row r="1487" spans="1:2" x14ac:dyDescent="0.25">
      <c r="A1487" s="170"/>
      <c r="B1487" s="170"/>
    </row>
    <row r="1488" spans="1:2" x14ac:dyDescent="0.25">
      <c r="A1488" s="170"/>
      <c r="B1488" s="170"/>
    </row>
    <row r="1489" spans="1:2" x14ac:dyDescent="0.25">
      <c r="A1489" s="170"/>
      <c r="B1489" s="170"/>
    </row>
    <row r="1490" spans="1:2" x14ac:dyDescent="0.25">
      <c r="A1490" s="170"/>
      <c r="B1490" s="170"/>
    </row>
    <row r="1491" spans="1:2" x14ac:dyDescent="0.25">
      <c r="A1491" s="170"/>
      <c r="B1491" s="170"/>
    </row>
    <row r="1492" spans="1:2" x14ac:dyDescent="0.25">
      <c r="A1492" s="170"/>
      <c r="B1492" s="170"/>
    </row>
    <row r="1493" spans="1:2" x14ac:dyDescent="0.25">
      <c r="A1493" s="170"/>
      <c r="B1493" s="170"/>
    </row>
    <row r="1494" spans="1:2" x14ac:dyDescent="0.25">
      <c r="A1494" s="170"/>
      <c r="B1494" s="170"/>
    </row>
    <row r="1495" spans="1:2" x14ac:dyDescent="0.25">
      <c r="A1495" s="170"/>
      <c r="B1495" s="170"/>
    </row>
    <row r="1496" spans="1:2" x14ac:dyDescent="0.25">
      <c r="A1496" s="170"/>
      <c r="B1496" s="170"/>
    </row>
    <row r="1497" spans="1:2" x14ac:dyDescent="0.25">
      <c r="A1497" s="170"/>
      <c r="B1497" s="170"/>
    </row>
    <row r="1498" spans="1:2" x14ac:dyDescent="0.25">
      <c r="A1498" s="170"/>
      <c r="B1498" s="170"/>
    </row>
    <row r="1499" spans="1:2" x14ac:dyDescent="0.25">
      <c r="A1499" s="170"/>
      <c r="B1499" s="170"/>
    </row>
    <row r="1500" spans="1:2" x14ac:dyDescent="0.25">
      <c r="A1500" s="170"/>
      <c r="B1500" s="170"/>
    </row>
    <row r="1501" spans="1:2" x14ac:dyDescent="0.25">
      <c r="A1501" s="170"/>
      <c r="B1501" s="170"/>
    </row>
    <row r="1502" spans="1:2" x14ac:dyDescent="0.25">
      <c r="A1502" s="170"/>
      <c r="B1502" s="170"/>
    </row>
    <row r="1503" spans="1:2" x14ac:dyDescent="0.25">
      <c r="A1503" s="170"/>
      <c r="B1503" s="170"/>
    </row>
    <row r="1504" spans="1:2" x14ac:dyDescent="0.25">
      <c r="A1504" s="170"/>
      <c r="B1504" s="170"/>
    </row>
    <row r="1505" spans="1:2" x14ac:dyDescent="0.25">
      <c r="A1505" s="170"/>
      <c r="B1505" s="170"/>
    </row>
    <row r="1506" spans="1:2" x14ac:dyDescent="0.25">
      <c r="A1506" s="170"/>
      <c r="B1506" s="170"/>
    </row>
    <row r="1507" spans="1:2" x14ac:dyDescent="0.25">
      <c r="A1507" s="170"/>
      <c r="B1507" s="170"/>
    </row>
    <row r="1508" spans="1:2" x14ac:dyDescent="0.25">
      <c r="A1508" s="170"/>
      <c r="B1508" s="170"/>
    </row>
    <row r="1509" spans="1:2" x14ac:dyDescent="0.25">
      <c r="A1509" s="170"/>
      <c r="B1509" s="170"/>
    </row>
    <row r="1510" spans="1:2" x14ac:dyDescent="0.25">
      <c r="A1510" s="170"/>
      <c r="B1510" s="170"/>
    </row>
    <row r="1511" spans="1:2" x14ac:dyDescent="0.25">
      <c r="A1511" s="170"/>
      <c r="B1511" s="170"/>
    </row>
    <row r="1512" spans="1:2" x14ac:dyDescent="0.25">
      <c r="A1512" s="170"/>
      <c r="B1512" s="170"/>
    </row>
    <row r="1513" spans="1:2" x14ac:dyDescent="0.25">
      <c r="A1513" s="170"/>
      <c r="B1513" s="170"/>
    </row>
    <row r="1514" spans="1:2" x14ac:dyDescent="0.25">
      <c r="A1514" s="170"/>
      <c r="B1514" s="170"/>
    </row>
    <row r="1515" spans="1:2" x14ac:dyDescent="0.25">
      <c r="A1515" s="170"/>
      <c r="B1515" s="170"/>
    </row>
    <row r="1516" spans="1:2" x14ac:dyDescent="0.25">
      <c r="A1516" s="170"/>
      <c r="B1516" s="170"/>
    </row>
    <row r="1517" spans="1:2" x14ac:dyDescent="0.25">
      <c r="A1517" s="170"/>
      <c r="B1517" s="170"/>
    </row>
    <row r="1518" spans="1:2" x14ac:dyDescent="0.25">
      <c r="A1518" s="170"/>
      <c r="B1518" s="170"/>
    </row>
    <row r="1519" spans="1:2" x14ac:dyDescent="0.25">
      <c r="A1519" s="170"/>
      <c r="B1519" s="170"/>
    </row>
    <row r="1520" spans="1:2" x14ac:dyDescent="0.25">
      <c r="A1520" s="170"/>
      <c r="B1520" s="170"/>
    </row>
    <row r="1521" spans="1:2" x14ac:dyDescent="0.25">
      <c r="A1521" s="170"/>
      <c r="B1521" s="170"/>
    </row>
    <row r="1522" spans="1:2" x14ac:dyDescent="0.25">
      <c r="A1522" s="170"/>
      <c r="B1522" s="170"/>
    </row>
    <row r="1523" spans="1:2" x14ac:dyDescent="0.25">
      <c r="A1523" s="170"/>
      <c r="B1523" s="170"/>
    </row>
    <row r="1524" spans="1:2" x14ac:dyDescent="0.25">
      <c r="A1524" s="170"/>
      <c r="B1524" s="170"/>
    </row>
    <row r="1525" spans="1:2" x14ac:dyDescent="0.25">
      <c r="A1525" s="170"/>
      <c r="B1525" s="170"/>
    </row>
    <row r="1526" spans="1:2" x14ac:dyDescent="0.25">
      <c r="A1526" s="170"/>
      <c r="B1526" s="170"/>
    </row>
    <row r="1527" spans="1:2" x14ac:dyDescent="0.25">
      <c r="A1527" s="170"/>
      <c r="B1527" s="170"/>
    </row>
    <row r="1528" spans="1:2" x14ac:dyDescent="0.25">
      <c r="A1528" s="170"/>
      <c r="B1528" s="170"/>
    </row>
    <row r="1529" spans="1:2" x14ac:dyDescent="0.25">
      <c r="A1529" s="170"/>
      <c r="B1529" s="170"/>
    </row>
    <row r="1530" spans="1:2" x14ac:dyDescent="0.25">
      <c r="A1530" s="170"/>
      <c r="B1530" s="170"/>
    </row>
    <row r="1531" spans="1:2" x14ac:dyDescent="0.25">
      <c r="A1531" s="170"/>
      <c r="B1531" s="170"/>
    </row>
    <row r="1532" spans="1:2" x14ac:dyDescent="0.25">
      <c r="A1532" s="170"/>
      <c r="B1532" s="170"/>
    </row>
    <row r="1533" spans="1:2" x14ac:dyDescent="0.25">
      <c r="A1533" s="170"/>
      <c r="B1533" s="170"/>
    </row>
    <row r="1534" spans="1:2" x14ac:dyDescent="0.25">
      <c r="A1534" s="170"/>
      <c r="B1534" s="170"/>
    </row>
    <row r="1535" spans="1:2" x14ac:dyDescent="0.25">
      <c r="A1535" s="170"/>
      <c r="B1535" s="170"/>
    </row>
    <row r="1536" spans="1:2" x14ac:dyDescent="0.25">
      <c r="A1536" s="170"/>
      <c r="B1536" s="170"/>
    </row>
    <row r="1537" spans="1:2" x14ac:dyDescent="0.25">
      <c r="A1537" s="170"/>
      <c r="B1537" s="170"/>
    </row>
    <row r="1538" spans="1:2" x14ac:dyDescent="0.25">
      <c r="A1538" s="170"/>
      <c r="B1538" s="170"/>
    </row>
    <row r="1539" spans="1:2" x14ac:dyDescent="0.25">
      <c r="A1539" s="170"/>
      <c r="B1539" s="170"/>
    </row>
    <row r="1540" spans="1:2" x14ac:dyDescent="0.25">
      <c r="A1540" s="170"/>
      <c r="B1540" s="170"/>
    </row>
    <row r="1541" spans="1:2" x14ac:dyDescent="0.25">
      <c r="A1541" s="170"/>
      <c r="B1541" s="170"/>
    </row>
    <row r="1542" spans="1:2" x14ac:dyDescent="0.25">
      <c r="A1542" s="170"/>
      <c r="B1542" s="170"/>
    </row>
    <row r="1543" spans="1:2" x14ac:dyDescent="0.25">
      <c r="A1543" s="170"/>
      <c r="B1543" s="170"/>
    </row>
    <row r="1544" spans="1:2" x14ac:dyDescent="0.25">
      <c r="A1544" s="170"/>
      <c r="B1544" s="170"/>
    </row>
    <row r="1545" spans="1:2" x14ac:dyDescent="0.25">
      <c r="A1545" s="170"/>
      <c r="B1545" s="170"/>
    </row>
    <row r="1546" spans="1:2" x14ac:dyDescent="0.25">
      <c r="A1546" s="170"/>
      <c r="B1546" s="170"/>
    </row>
    <row r="1547" spans="1:2" x14ac:dyDescent="0.25">
      <c r="A1547" s="170"/>
      <c r="B1547" s="170"/>
    </row>
    <row r="1548" spans="1:2" x14ac:dyDescent="0.25">
      <c r="A1548" s="170"/>
      <c r="B1548" s="170"/>
    </row>
    <row r="1549" spans="1:2" x14ac:dyDescent="0.25">
      <c r="A1549" s="170"/>
      <c r="B1549" s="170"/>
    </row>
    <row r="1550" spans="1:2" x14ac:dyDescent="0.25">
      <c r="A1550" s="170"/>
      <c r="B1550" s="170"/>
    </row>
    <row r="1551" spans="1:2" x14ac:dyDescent="0.25">
      <c r="A1551" s="170"/>
      <c r="B1551" s="170"/>
    </row>
    <row r="1552" spans="1:2" x14ac:dyDescent="0.25">
      <c r="A1552" s="170"/>
      <c r="B1552" s="170"/>
    </row>
    <row r="1553" spans="1:2" x14ac:dyDescent="0.25">
      <c r="A1553" s="170"/>
      <c r="B1553" s="170"/>
    </row>
    <row r="1554" spans="1:2" x14ac:dyDescent="0.25">
      <c r="A1554" s="170"/>
      <c r="B1554" s="170"/>
    </row>
    <row r="1555" spans="1:2" x14ac:dyDescent="0.25">
      <c r="A1555" s="170"/>
      <c r="B1555" s="170"/>
    </row>
    <row r="1556" spans="1:2" x14ac:dyDescent="0.25">
      <c r="A1556" s="170"/>
      <c r="B1556" s="170"/>
    </row>
    <row r="1557" spans="1:2" x14ac:dyDescent="0.25">
      <c r="A1557" s="170"/>
      <c r="B1557" s="170"/>
    </row>
    <row r="1558" spans="1:2" x14ac:dyDescent="0.25">
      <c r="A1558" s="170"/>
      <c r="B1558" s="170"/>
    </row>
    <row r="1559" spans="1:2" x14ac:dyDescent="0.25">
      <c r="A1559" s="170"/>
      <c r="B1559" s="170"/>
    </row>
    <row r="1560" spans="1:2" x14ac:dyDescent="0.25">
      <c r="A1560" s="170"/>
      <c r="B1560" s="170"/>
    </row>
    <row r="1561" spans="1:2" x14ac:dyDescent="0.25">
      <c r="A1561" s="170"/>
      <c r="B1561" s="170"/>
    </row>
    <row r="1562" spans="1:2" x14ac:dyDescent="0.25">
      <c r="A1562" s="170"/>
      <c r="B1562" s="170"/>
    </row>
    <row r="1563" spans="1:2" x14ac:dyDescent="0.25">
      <c r="A1563" s="170"/>
      <c r="B1563" s="170"/>
    </row>
    <row r="1564" spans="1:2" x14ac:dyDescent="0.25">
      <c r="A1564" s="170"/>
      <c r="B1564" s="170"/>
    </row>
    <row r="1565" spans="1:2" x14ac:dyDescent="0.25">
      <c r="A1565" s="170"/>
      <c r="B1565" s="170"/>
    </row>
    <row r="1566" spans="1:2" x14ac:dyDescent="0.25">
      <c r="A1566" s="170"/>
      <c r="B1566" s="170"/>
    </row>
    <row r="1567" spans="1:2" x14ac:dyDescent="0.25">
      <c r="A1567" s="170"/>
      <c r="B1567" s="170"/>
    </row>
    <row r="1568" spans="1:2" x14ac:dyDescent="0.25">
      <c r="A1568" s="170"/>
      <c r="B1568" s="170"/>
    </row>
    <row r="1569" spans="1:2" x14ac:dyDescent="0.25">
      <c r="A1569" s="170"/>
      <c r="B1569" s="170"/>
    </row>
    <row r="1570" spans="1:2" x14ac:dyDescent="0.25">
      <c r="A1570" s="170"/>
      <c r="B1570" s="170"/>
    </row>
    <row r="1571" spans="1:2" x14ac:dyDescent="0.25">
      <c r="A1571" s="170"/>
      <c r="B1571" s="170"/>
    </row>
    <row r="1572" spans="1:2" x14ac:dyDescent="0.25">
      <c r="A1572" s="170"/>
      <c r="B1572" s="170"/>
    </row>
    <row r="1573" spans="1:2" x14ac:dyDescent="0.25">
      <c r="A1573" s="170"/>
      <c r="B1573" s="170"/>
    </row>
    <row r="1574" spans="1:2" x14ac:dyDescent="0.25">
      <c r="A1574" s="170"/>
      <c r="B1574" s="170"/>
    </row>
    <row r="1575" spans="1:2" x14ac:dyDescent="0.25">
      <c r="A1575" s="170"/>
      <c r="B1575" s="170"/>
    </row>
    <row r="1576" spans="1:2" x14ac:dyDescent="0.25">
      <c r="A1576" s="170"/>
      <c r="B1576" s="170"/>
    </row>
    <row r="1577" spans="1:2" x14ac:dyDescent="0.25">
      <c r="A1577" s="170"/>
      <c r="B1577" s="170"/>
    </row>
    <row r="1578" spans="1:2" x14ac:dyDescent="0.25">
      <c r="A1578" s="170"/>
      <c r="B1578" s="170"/>
    </row>
    <row r="1579" spans="1:2" x14ac:dyDescent="0.25">
      <c r="A1579" s="170"/>
      <c r="B1579" s="170"/>
    </row>
    <row r="1580" spans="1:2" x14ac:dyDescent="0.25">
      <c r="A1580" s="170"/>
      <c r="B1580" s="170"/>
    </row>
    <row r="1581" spans="1:2" x14ac:dyDescent="0.25">
      <c r="A1581" s="170"/>
      <c r="B1581" s="170"/>
    </row>
    <row r="1582" spans="1:2" x14ac:dyDescent="0.25">
      <c r="A1582" s="170"/>
      <c r="B1582" s="170"/>
    </row>
    <row r="1583" spans="1:2" x14ac:dyDescent="0.25">
      <c r="A1583" s="170"/>
      <c r="B1583" s="170"/>
    </row>
    <row r="1584" spans="1:2" x14ac:dyDescent="0.25">
      <c r="A1584" s="170"/>
      <c r="B1584" s="170"/>
    </row>
    <row r="1585" spans="1:2" x14ac:dyDescent="0.25">
      <c r="A1585" s="170"/>
      <c r="B1585" s="170"/>
    </row>
    <row r="1586" spans="1:2" x14ac:dyDescent="0.25">
      <c r="A1586" s="170"/>
      <c r="B1586" s="170"/>
    </row>
    <row r="1587" spans="1:2" x14ac:dyDescent="0.25">
      <c r="A1587" s="170"/>
      <c r="B1587" s="170"/>
    </row>
    <row r="1588" spans="1:2" x14ac:dyDescent="0.25">
      <c r="A1588" s="170"/>
      <c r="B1588" s="170"/>
    </row>
    <row r="1589" spans="1:2" x14ac:dyDescent="0.25">
      <c r="A1589" s="170"/>
      <c r="B1589" s="170"/>
    </row>
    <row r="1590" spans="1:2" x14ac:dyDescent="0.25">
      <c r="A1590" s="170"/>
      <c r="B1590" s="170"/>
    </row>
    <row r="1591" spans="1:2" x14ac:dyDescent="0.25">
      <c r="A1591" s="170"/>
      <c r="B1591" s="170"/>
    </row>
    <row r="1592" spans="1:2" x14ac:dyDescent="0.25">
      <c r="A1592" s="170"/>
      <c r="B1592" s="170"/>
    </row>
    <row r="1593" spans="1:2" x14ac:dyDescent="0.25">
      <c r="A1593" s="170"/>
      <c r="B1593" s="170"/>
    </row>
    <row r="1594" spans="1:2" x14ac:dyDescent="0.25">
      <c r="A1594" s="170"/>
      <c r="B1594" s="170"/>
    </row>
    <row r="1595" spans="1:2" x14ac:dyDescent="0.25">
      <c r="A1595" s="170"/>
      <c r="B1595" s="170"/>
    </row>
    <row r="1596" spans="1:2" x14ac:dyDescent="0.25">
      <c r="A1596" s="170"/>
      <c r="B1596" s="170"/>
    </row>
    <row r="1597" spans="1:2" x14ac:dyDescent="0.25">
      <c r="A1597" s="170"/>
      <c r="B1597" s="170"/>
    </row>
    <row r="1598" spans="1:2" x14ac:dyDescent="0.25">
      <c r="A1598" s="170"/>
      <c r="B1598" s="170"/>
    </row>
    <row r="1599" spans="1:2" x14ac:dyDescent="0.25">
      <c r="A1599" s="170"/>
      <c r="B1599" s="170"/>
    </row>
    <row r="1600" spans="1:2" x14ac:dyDescent="0.25">
      <c r="A1600" s="170"/>
      <c r="B1600" s="170"/>
    </row>
    <row r="1601" spans="1:2" x14ac:dyDescent="0.25">
      <c r="A1601" s="170"/>
      <c r="B1601" s="170"/>
    </row>
    <row r="1602" spans="1:2" x14ac:dyDescent="0.25">
      <c r="A1602" s="170"/>
      <c r="B1602" s="170"/>
    </row>
    <row r="1603" spans="1:2" x14ac:dyDescent="0.25">
      <c r="A1603" s="170"/>
      <c r="B1603" s="170"/>
    </row>
    <row r="1604" spans="1:2" x14ac:dyDescent="0.25">
      <c r="A1604" s="170"/>
      <c r="B1604" s="170"/>
    </row>
    <row r="1605" spans="1:2" x14ac:dyDescent="0.25">
      <c r="A1605" s="170"/>
      <c r="B1605" s="170"/>
    </row>
    <row r="1606" spans="1:2" x14ac:dyDescent="0.25">
      <c r="A1606" s="170"/>
      <c r="B1606" s="170"/>
    </row>
    <row r="1607" spans="1:2" x14ac:dyDescent="0.25">
      <c r="A1607" s="170"/>
      <c r="B1607" s="170"/>
    </row>
    <row r="1608" spans="1:2" x14ac:dyDescent="0.25">
      <c r="A1608" s="170"/>
      <c r="B1608" s="170"/>
    </row>
    <row r="1609" spans="1:2" x14ac:dyDescent="0.25">
      <c r="A1609" s="170"/>
      <c r="B1609" s="170"/>
    </row>
    <row r="1610" spans="1:2" x14ac:dyDescent="0.25">
      <c r="A1610" s="170"/>
      <c r="B1610" s="170"/>
    </row>
    <row r="1611" spans="1:2" x14ac:dyDescent="0.25">
      <c r="A1611" s="170"/>
      <c r="B1611" s="170"/>
    </row>
    <row r="1612" spans="1:2" x14ac:dyDescent="0.25">
      <c r="A1612" s="170"/>
      <c r="B1612" s="170"/>
    </row>
    <row r="1613" spans="1:2" x14ac:dyDescent="0.25">
      <c r="A1613" s="170"/>
      <c r="B1613" s="170"/>
    </row>
    <row r="1614" spans="1:2" x14ac:dyDescent="0.25">
      <c r="A1614" s="170"/>
      <c r="B1614" s="170"/>
    </row>
    <row r="1615" spans="1:2" x14ac:dyDescent="0.25">
      <c r="A1615" s="170"/>
      <c r="B1615" s="170"/>
    </row>
    <row r="1616" spans="1:2" x14ac:dyDescent="0.25">
      <c r="A1616" s="170"/>
      <c r="B1616" s="170"/>
    </row>
    <row r="1617" spans="1:2" x14ac:dyDescent="0.25">
      <c r="A1617" s="170"/>
      <c r="B1617" s="170"/>
    </row>
    <row r="1618" spans="1:2" x14ac:dyDescent="0.25">
      <c r="A1618" s="170"/>
      <c r="B1618" s="170"/>
    </row>
    <row r="1619" spans="1:2" x14ac:dyDescent="0.25">
      <c r="A1619" s="170"/>
      <c r="B1619" s="170"/>
    </row>
    <row r="1620" spans="1:2" x14ac:dyDescent="0.25">
      <c r="A1620" s="170"/>
      <c r="B1620" s="170"/>
    </row>
    <row r="1621" spans="1:2" x14ac:dyDescent="0.25">
      <c r="A1621" s="170"/>
      <c r="B1621" s="170"/>
    </row>
    <row r="1622" spans="1:2" x14ac:dyDescent="0.25">
      <c r="A1622" s="170"/>
      <c r="B1622" s="170"/>
    </row>
    <row r="1623" spans="1:2" x14ac:dyDescent="0.25">
      <c r="A1623" s="170"/>
      <c r="B1623" s="170"/>
    </row>
    <row r="1624" spans="1:2" x14ac:dyDescent="0.25">
      <c r="A1624" s="170"/>
      <c r="B1624" s="170"/>
    </row>
    <row r="1625" spans="1:2" x14ac:dyDescent="0.25">
      <c r="A1625" s="170"/>
      <c r="B1625" s="170"/>
    </row>
    <row r="1626" spans="1:2" x14ac:dyDescent="0.25">
      <c r="A1626" s="170"/>
      <c r="B1626" s="170"/>
    </row>
    <row r="1627" spans="1:2" x14ac:dyDescent="0.25">
      <c r="A1627" s="170"/>
      <c r="B1627" s="170"/>
    </row>
    <row r="1628" spans="1:2" x14ac:dyDescent="0.25">
      <c r="A1628" s="170"/>
      <c r="B1628" s="170"/>
    </row>
    <row r="1629" spans="1:2" x14ac:dyDescent="0.25">
      <c r="A1629" s="170"/>
      <c r="B1629" s="170"/>
    </row>
    <row r="1630" spans="1:2" x14ac:dyDescent="0.25">
      <c r="A1630" s="170"/>
      <c r="B1630" s="170"/>
    </row>
    <row r="1631" spans="1:2" x14ac:dyDescent="0.25">
      <c r="A1631" s="170"/>
      <c r="B1631" s="170"/>
    </row>
    <row r="1632" spans="1:2" x14ac:dyDescent="0.25">
      <c r="A1632" s="170"/>
      <c r="B1632" s="170"/>
    </row>
    <row r="1633" spans="1:2" x14ac:dyDescent="0.25">
      <c r="A1633" s="170"/>
      <c r="B1633" s="170"/>
    </row>
    <row r="1634" spans="1:2" x14ac:dyDescent="0.25">
      <c r="A1634" s="170"/>
      <c r="B1634" s="170"/>
    </row>
    <row r="1635" spans="1:2" x14ac:dyDescent="0.25">
      <c r="A1635" s="170"/>
      <c r="B1635" s="170"/>
    </row>
    <row r="1636" spans="1:2" x14ac:dyDescent="0.25">
      <c r="A1636" s="170"/>
      <c r="B1636" s="170"/>
    </row>
    <row r="1637" spans="1:2" x14ac:dyDescent="0.25">
      <c r="A1637" s="170"/>
      <c r="B1637" s="170"/>
    </row>
    <row r="1638" spans="1:2" x14ac:dyDescent="0.25">
      <c r="A1638" s="170"/>
      <c r="B1638" s="170"/>
    </row>
    <row r="1639" spans="1:2" x14ac:dyDescent="0.25">
      <c r="A1639" s="170"/>
      <c r="B1639" s="170"/>
    </row>
    <row r="1640" spans="1:2" x14ac:dyDescent="0.25">
      <c r="A1640" s="170"/>
      <c r="B1640" s="170"/>
    </row>
    <row r="1641" spans="1:2" x14ac:dyDescent="0.25">
      <c r="A1641" s="170"/>
      <c r="B1641" s="170"/>
    </row>
    <row r="1642" spans="1:2" x14ac:dyDescent="0.25">
      <c r="A1642" s="170"/>
      <c r="B1642" s="170"/>
    </row>
    <row r="1643" spans="1:2" x14ac:dyDescent="0.25">
      <c r="A1643" s="170"/>
      <c r="B1643" s="170"/>
    </row>
    <row r="1644" spans="1:2" x14ac:dyDescent="0.25">
      <c r="A1644" s="170"/>
      <c r="B1644" s="170"/>
    </row>
    <row r="1645" spans="1:2" x14ac:dyDescent="0.25">
      <c r="A1645" s="170"/>
      <c r="B1645" s="170"/>
    </row>
    <row r="1646" spans="1:2" x14ac:dyDescent="0.25">
      <c r="A1646" s="170"/>
      <c r="B1646" s="170"/>
    </row>
    <row r="1647" spans="1:2" x14ac:dyDescent="0.25">
      <c r="A1647" s="170"/>
      <c r="B1647" s="170"/>
    </row>
    <row r="1648" spans="1:2" x14ac:dyDescent="0.25">
      <c r="A1648" s="170"/>
      <c r="B1648" s="170"/>
    </row>
    <row r="1649" spans="1:2" x14ac:dyDescent="0.25">
      <c r="A1649" s="170"/>
      <c r="B1649" s="170"/>
    </row>
    <row r="1650" spans="1:2" x14ac:dyDescent="0.25">
      <c r="A1650" s="170"/>
      <c r="B1650" s="170"/>
    </row>
    <row r="1651" spans="1:2" x14ac:dyDescent="0.25">
      <c r="A1651" s="170"/>
      <c r="B1651" s="170"/>
    </row>
    <row r="1652" spans="1:2" x14ac:dyDescent="0.25">
      <c r="A1652" s="170"/>
      <c r="B1652" s="170"/>
    </row>
    <row r="1653" spans="1:2" x14ac:dyDescent="0.25">
      <c r="A1653" s="170"/>
      <c r="B1653" s="170"/>
    </row>
    <row r="1654" spans="1:2" x14ac:dyDescent="0.25">
      <c r="A1654" s="170"/>
      <c r="B1654" s="170"/>
    </row>
    <row r="1655" spans="1:2" x14ac:dyDescent="0.25">
      <c r="A1655" s="170"/>
      <c r="B1655" s="170"/>
    </row>
    <row r="1656" spans="1:2" x14ac:dyDescent="0.25">
      <c r="A1656" s="170"/>
      <c r="B1656" s="170"/>
    </row>
    <row r="1657" spans="1:2" x14ac:dyDescent="0.25">
      <c r="A1657" s="170"/>
      <c r="B1657" s="170"/>
    </row>
    <row r="1658" spans="1:2" x14ac:dyDescent="0.25">
      <c r="A1658" s="170"/>
      <c r="B1658" s="170"/>
    </row>
    <row r="1659" spans="1:2" x14ac:dyDescent="0.25">
      <c r="A1659" s="170"/>
      <c r="B1659" s="170"/>
    </row>
    <row r="1660" spans="1:2" x14ac:dyDescent="0.25">
      <c r="A1660" s="170"/>
      <c r="B1660" s="170"/>
    </row>
    <row r="1661" spans="1:2" x14ac:dyDescent="0.25">
      <c r="A1661" s="170"/>
      <c r="B1661" s="170"/>
    </row>
    <row r="1662" spans="1:2" x14ac:dyDescent="0.25">
      <c r="A1662" s="170"/>
      <c r="B1662" s="170"/>
    </row>
    <row r="1663" spans="1:2" x14ac:dyDescent="0.25">
      <c r="A1663" s="170"/>
      <c r="B1663" s="170"/>
    </row>
    <row r="1664" spans="1:2" x14ac:dyDescent="0.25">
      <c r="A1664" s="170"/>
      <c r="B1664" s="170"/>
    </row>
    <row r="1665" spans="1:2" x14ac:dyDescent="0.25">
      <c r="A1665" s="170"/>
      <c r="B1665" s="170"/>
    </row>
    <row r="1666" spans="1:2" x14ac:dyDescent="0.25">
      <c r="A1666" s="170"/>
      <c r="B1666" s="170"/>
    </row>
    <row r="1667" spans="1:2" x14ac:dyDescent="0.25">
      <c r="A1667" s="170"/>
      <c r="B1667" s="170"/>
    </row>
    <row r="1668" spans="1:2" x14ac:dyDescent="0.25">
      <c r="A1668" s="170"/>
      <c r="B1668" s="170"/>
    </row>
    <row r="1669" spans="1:2" x14ac:dyDescent="0.25">
      <c r="A1669" s="170"/>
      <c r="B1669" s="170"/>
    </row>
    <row r="1670" spans="1:2" x14ac:dyDescent="0.25">
      <c r="A1670" s="170"/>
      <c r="B1670" s="170"/>
    </row>
    <row r="1671" spans="1:2" x14ac:dyDescent="0.25">
      <c r="A1671" s="170"/>
      <c r="B1671" s="170"/>
    </row>
    <row r="1672" spans="1:2" x14ac:dyDescent="0.25">
      <c r="A1672" s="170"/>
      <c r="B1672" s="170"/>
    </row>
    <row r="1673" spans="1:2" x14ac:dyDescent="0.25">
      <c r="A1673" s="170"/>
      <c r="B1673" s="170"/>
    </row>
    <row r="1674" spans="1:2" x14ac:dyDescent="0.25">
      <c r="A1674" s="170"/>
      <c r="B1674" s="170"/>
    </row>
    <row r="1675" spans="1:2" x14ac:dyDescent="0.25">
      <c r="A1675" s="170"/>
      <c r="B1675" s="170"/>
    </row>
    <row r="1676" spans="1:2" x14ac:dyDescent="0.25">
      <c r="A1676" s="170"/>
      <c r="B1676" s="170"/>
    </row>
    <row r="1677" spans="1:2" x14ac:dyDescent="0.25">
      <c r="A1677" s="170"/>
      <c r="B1677" s="170"/>
    </row>
    <row r="1678" spans="1:2" x14ac:dyDescent="0.25">
      <c r="A1678" s="170"/>
      <c r="B1678" s="170"/>
    </row>
    <row r="1679" spans="1:2" x14ac:dyDescent="0.25">
      <c r="A1679" s="170"/>
      <c r="B1679" s="170"/>
    </row>
    <row r="1680" spans="1:2" x14ac:dyDescent="0.25">
      <c r="A1680" s="170"/>
      <c r="B1680" s="170"/>
    </row>
    <row r="1681" spans="1:2" x14ac:dyDescent="0.25">
      <c r="A1681" s="170"/>
      <c r="B1681" s="170"/>
    </row>
    <row r="1682" spans="1:2" x14ac:dyDescent="0.25">
      <c r="A1682" s="170"/>
      <c r="B1682" s="170"/>
    </row>
    <row r="1683" spans="1:2" x14ac:dyDescent="0.25">
      <c r="A1683" s="170"/>
      <c r="B1683" s="170"/>
    </row>
    <row r="1684" spans="1:2" x14ac:dyDescent="0.25">
      <c r="A1684" s="170"/>
      <c r="B1684" s="170"/>
    </row>
    <row r="1685" spans="1:2" x14ac:dyDescent="0.25">
      <c r="A1685" s="170"/>
      <c r="B1685" s="170"/>
    </row>
    <row r="1686" spans="1:2" x14ac:dyDescent="0.25">
      <c r="A1686" s="170"/>
      <c r="B1686" s="170"/>
    </row>
    <row r="1687" spans="1:2" x14ac:dyDescent="0.25">
      <c r="A1687" s="170"/>
      <c r="B1687" s="170"/>
    </row>
    <row r="1688" spans="1:2" x14ac:dyDescent="0.25">
      <c r="A1688" s="170"/>
      <c r="B1688" s="170"/>
    </row>
    <row r="1689" spans="1:2" x14ac:dyDescent="0.25">
      <c r="A1689" s="170"/>
      <c r="B1689" s="170"/>
    </row>
    <row r="1690" spans="1:2" x14ac:dyDescent="0.25">
      <c r="A1690" s="170"/>
      <c r="B1690" s="170"/>
    </row>
    <row r="1691" spans="1:2" x14ac:dyDescent="0.25">
      <c r="A1691" s="170"/>
      <c r="B1691" s="170"/>
    </row>
    <row r="1692" spans="1:2" x14ac:dyDescent="0.25">
      <c r="A1692" s="170"/>
      <c r="B1692" s="170"/>
    </row>
    <row r="1693" spans="1:2" x14ac:dyDescent="0.25">
      <c r="A1693" s="170"/>
      <c r="B1693" s="170"/>
    </row>
    <row r="1694" spans="1:2" x14ac:dyDescent="0.25">
      <c r="A1694" s="170"/>
      <c r="B1694" s="170"/>
    </row>
    <row r="1695" spans="1:2" x14ac:dyDescent="0.25">
      <c r="A1695" s="170"/>
      <c r="B1695" s="170"/>
    </row>
    <row r="1696" spans="1:2" x14ac:dyDescent="0.25">
      <c r="A1696" s="170"/>
      <c r="B1696" s="170"/>
    </row>
    <row r="1697" spans="1:2" x14ac:dyDescent="0.25">
      <c r="A1697" s="170"/>
      <c r="B1697" s="170"/>
    </row>
    <row r="1698" spans="1:2" x14ac:dyDescent="0.25">
      <c r="A1698" s="170"/>
      <c r="B1698" s="170"/>
    </row>
    <row r="1699" spans="1:2" x14ac:dyDescent="0.25">
      <c r="A1699" s="170"/>
      <c r="B1699" s="170"/>
    </row>
    <row r="1700" spans="1:2" x14ac:dyDescent="0.25">
      <c r="A1700" s="170"/>
      <c r="B1700" s="170"/>
    </row>
    <row r="1701" spans="1:2" x14ac:dyDescent="0.25">
      <c r="A1701" s="170"/>
      <c r="B1701" s="170"/>
    </row>
    <row r="1702" spans="1:2" x14ac:dyDescent="0.25">
      <c r="A1702" s="170"/>
      <c r="B1702" s="170"/>
    </row>
    <row r="1703" spans="1:2" x14ac:dyDescent="0.25">
      <c r="A1703" s="170"/>
      <c r="B1703" s="170"/>
    </row>
    <row r="1704" spans="1:2" x14ac:dyDescent="0.25">
      <c r="A1704" s="170"/>
      <c r="B1704" s="170"/>
    </row>
    <row r="1705" spans="1:2" x14ac:dyDescent="0.25">
      <c r="A1705" s="170"/>
      <c r="B1705" s="170"/>
    </row>
    <row r="1706" spans="1:2" x14ac:dyDescent="0.25">
      <c r="A1706" s="170"/>
      <c r="B1706" s="170"/>
    </row>
    <row r="1707" spans="1:2" x14ac:dyDescent="0.25">
      <c r="A1707" s="170"/>
      <c r="B1707" s="170"/>
    </row>
    <row r="1708" spans="1:2" x14ac:dyDescent="0.25">
      <c r="A1708" s="170"/>
      <c r="B1708" s="170"/>
    </row>
    <row r="1709" spans="1:2" x14ac:dyDescent="0.25">
      <c r="A1709" s="170"/>
      <c r="B1709" s="170"/>
    </row>
    <row r="1710" spans="1:2" x14ac:dyDescent="0.25">
      <c r="A1710" s="170"/>
      <c r="B1710" s="170"/>
    </row>
    <row r="1711" spans="1:2" x14ac:dyDescent="0.25">
      <c r="A1711" s="170"/>
      <c r="B1711" s="170"/>
    </row>
    <row r="1712" spans="1:2" x14ac:dyDescent="0.25">
      <c r="A1712" s="170"/>
      <c r="B1712" s="170"/>
    </row>
    <row r="1713" spans="1:2" x14ac:dyDescent="0.25">
      <c r="A1713" s="170"/>
      <c r="B1713" s="170"/>
    </row>
    <row r="1714" spans="1:2" x14ac:dyDescent="0.25">
      <c r="A1714" s="170"/>
      <c r="B1714" s="170"/>
    </row>
    <row r="1715" spans="1:2" x14ac:dyDescent="0.25">
      <c r="A1715" s="170"/>
      <c r="B1715" s="170"/>
    </row>
    <row r="1716" spans="1:2" x14ac:dyDescent="0.25">
      <c r="A1716" s="170"/>
      <c r="B1716" s="170"/>
    </row>
    <row r="1717" spans="1:2" x14ac:dyDescent="0.25">
      <c r="A1717" s="170"/>
      <c r="B1717" s="170"/>
    </row>
    <row r="1718" spans="1:2" x14ac:dyDescent="0.25">
      <c r="A1718" s="170"/>
      <c r="B1718" s="170"/>
    </row>
    <row r="1719" spans="1:2" x14ac:dyDescent="0.25">
      <c r="A1719" s="170"/>
      <c r="B1719" s="170"/>
    </row>
    <row r="1720" spans="1:2" x14ac:dyDescent="0.25">
      <c r="A1720" s="170"/>
      <c r="B1720" s="170"/>
    </row>
    <row r="1721" spans="1:2" x14ac:dyDescent="0.25">
      <c r="A1721" s="170"/>
      <c r="B1721" s="170"/>
    </row>
    <row r="1722" spans="1:2" x14ac:dyDescent="0.25">
      <c r="A1722" s="170"/>
      <c r="B1722" s="170"/>
    </row>
    <row r="1723" spans="1:2" x14ac:dyDescent="0.25">
      <c r="A1723" s="170"/>
      <c r="B1723" s="170"/>
    </row>
    <row r="1724" spans="1:2" x14ac:dyDescent="0.25">
      <c r="A1724" s="170"/>
      <c r="B1724" s="170"/>
    </row>
    <row r="1725" spans="1:2" x14ac:dyDescent="0.25">
      <c r="A1725" s="170"/>
      <c r="B1725" s="170"/>
    </row>
    <row r="1726" spans="1:2" x14ac:dyDescent="0.25">
      <c r="A1726" s="170"/>
      <c r="B1726" s="170"/>
    </row>
    <row r="1727" spans="1:2" x14ac:dyDescent="0.25">
      <c r="A1727" s="170"/>
      <c r="B1727" s="170"/>
    </row>
    <row r="1728" spans="1:2" x14ac:dyDescent="0.25">
      <c r="A1728" s="170"/>
      <c r="B1728" s="170"/>
    </row>
    <row r="1729" spans="1:2" x14ac:dyDescent="0.25">
      <c r="A1729" s="170"/>
      <c r="B1729" s="170"/>
    </row>
    <row r="1730" spans="1:2" x14ac:dyDescent="0.25">
      <c r="A1730" s="170"/>
      <c r="B1730" s="170"/>
    </row>
    <row r="1731" spans="1:2" x14ac:dyDescent="0.25">
      <c r="A1731" s="170"/>
      <c r="B1731" s="170"/>
    </row>
    <row r="1732" spans="1:2" x14ac:dyDescent="0.25">
      <c r="A1732" s="170"/>
      <c r="B1732" s="170"/>
    </row>
    <row r="1733" spans="1:2" x14ac:dyDescent="0.25">
      <c r="A1733" s="170"/>
      <c r="B1733" s="170"/>
    </row>
    <row r="1734" spans="1:2" x14ac:dyDescent="0.25">
      <c r="A1734" s="170"/>
      <c r="B1734" s="170"/>
    </row>
    <row r="1735" spans="1:2" x14ac:dyDescent="0.25">
      <c r="A1735" s="170"/>
      <c r="B1735" s="170"/>
    </row>
    <row r="1736" spans="1:2" x14ac:dyDescent="0.25">
      <c r="A1736" s="170"/>
      <c r="B1736" s="170"/>
    </row>
    <row r="1737" spans="1:2" x14ac:dyDescent="0.25">
      <c r="A1737" s="170"/>
      <c r="B1737" s="170"/>
    </row>
    <row r="1738" spans="1:2" x14ac:dyDescent="0.25">
      <c r="A1738" s="170"/>
      <c r="B1738" s="170"/>
    </row>
    <row r="1739" spans="1:2" x14ac:dyDescent="0.25">
      <c r="A1739" s="170"/>
      <c r="B1739" s="170"/>
    </row>
    <row r="1740" spans="1:2" x14ac:dyDescent="0.25">
      <c r="A1740" s="170"/>
      <c r="B1740" s="170"/>
    </row>
    <row r="1741" spans="1:2" x14ac:dyDescent="0.25">
      <c r="A1741" s="170"/>
      <c r="B1741" s="170"/>
    </row>
    <row r="1742" spans="1:2" x14ac:dyDescent="0.25">
      <c r="A1742" s="170"/>
      <c r="B1742" s="170"/>
    </row>
    <row r="1743" spans="1:2" x14ac:dyDescent="0.25">
      <c r="A1743" s="170"/>
      <c r="B1743" s="170"/>
    </row>
    <row r="1744" spans="1:2" x14ac:dyDescent="0.25">
      <c r="A1744" s="170"/>
      <c r="B1744" s="170"/>
    </row>
    <row r="1745" spans="1:2" x14ac:dyDescent="0.25">
      <c r="A1745" s="170"/>
      <c r="B1745" s="170"/>
    </row>
    <row r="1746" spans="1:2" x14ac:dyDescent="0.25">
      <c r="A1746" s="170"/>
      <c r="B1746" s="170"/>
    </row>
    <row r="1747" spans="1:2" x14ac:dyDescent="0.25">
      <c r="A1747" s="170"/>
      <c r="B1747" s="170"/>
    </row>
    <row r="1748" spans="1:2" x14ac:dyDescent="0.25">
      <c r="A1748" s="170"/>
      <c r="B1748" s="170"/>
    </row>
    <row r="1749" spans="1:2" x14ac:dyDescent="0.25">
      <c r="A1749" s="170"/>
      <c r="B1749" s="170"/>
    </row>
    <row r="1750" spans="1:2" x14ac:dyDescent="0.25">
      <c r="A1750" s="170"/>
      <c r="B1750" s="170"/>
    </row>
    <row r="1751" spans="1:2" x14ac:dyDescent="0.25">
      <c r="A1751" s="170"/>
      <c r="B1751" s="170"/>
    </row>
    <row r="1752" spans="1:2" x14ac:dyDescent="0.25">
      <c r="A1752" s="170"/>
      <c r="B1752" s="170"/>
    </row>
    <row r="1753" spans="1:2" x14ac:dyDescent="0.25">
      <c r="A1753" s="170"/>
      <c r="B1753" s="170"/>
    </row>
    <row r="1754" spans="1:2" x14ac:dyDescent="0.25">
      <c r="A1754" s="170"/>
      <c r="B1754" s="170"/>
    </row>
    <row r="1755" spans="1:2" x14ac:dyDescent="0.25">
      <c r="A1755" s="170"/>
      <c r="B1755" s="170"/>
    </row>
    <row r="1756" spans="1:2" x14ac:dyDescent="0.25">
      <c r="A1756" s="170"/>
      <c r="B1756" s="170"/>
    </row>
    <row r="1757" spans="1:2" x14ac:dyDescent="0.25">
      <c r="A1757" s="170"/>
      <c r="B1757" s="170"/>
    </row>
    <row r="1758" spans="1:2" x14ac:dyDescent="0.25">
      <c r="A1758" s="170"/>
      <c r="B1758" s="170"/>
    </row>
    <row r="1759" spans="1:2" x14ac:dyDescent="0.25">
      <c r="A1759" s="170"/>
      <c r="B1759" s="170"/>
    </row>
    <row r="1760" spans="1:2" x14ac:dyDescent="0.25">
      <c r="A1760" s="170"/>
      <c r="B1760" s="170"/>
    </row>
    <row r="1761" spans="1:2" x14ac:dyDescent="0.25">
      <c r="A1761" s="170"/>
      <c r="B1761" s="170"/>
    </row>
    <row r="1762" spans="1:2" x14ac:dyDescent="0.25">
      <c r="A1762" s="170"/>
      <c r="B1762" s="170"/>
    </row>
    <row r="1763" spans="1:2" x14ac:dyDescent="0.25">
      <c r="A1763" s="170"/>
      <c r="B1763" s="170"/>
    </row>
    <row r="1764" spans="1:2" x14ac:dyDescent="0.25">
      <c r="A1764" s="170"/>
      <c r="B1764" s="170"/>
    </row>
    <row r="1765" spans="1:2" x14ac:dyDescent="0.25">
      <c r="A1765" s="170"/>
      <c r="B1765" s="170"/>
    </row>
    <row r="1766" spans="1:2" x14ac:dyDescent="0.25">
      <c r="A1766" s="170"/>
      <c r="B1766" s="170"/>
    </row>
    <row r="1767" spans="1:2" x14ac:dyDescent="0.25">
      <c r="A1767" s="170"/>
      <c r="B1767" s="170"/>
    </row>
    <row r="1768" spans="1:2" x14ac:dyDescent="0.25">
      <c r="A1768" s="170"/>
      <c r="B1768" s="170"/>
    </row>
    <row r="1769" spans="1:2" x14ac:dyDescent="0.25">
      <c r="A1769" s="170"/>
      <c r="B1769" s="170"/>
    </row>
    <row r="1770" spans="1:2" x14ac:dyDescent="0.25">
      <c r="A1770" s="170"/>
      <c r="B1770" s="170"/>
    </row>
    <row r="1771" spans="1:2" x14ac:dyDescent="0.25">
      <c r="A1771" s="170"/>
      <c r="B1771" s="170"/>
    </row>
    <row r="1772" spans="1:2" x14ac:dyDescent="0.25">
      <c r="A1772" s="170"/>
      <c r="B1772" s="170"/>
    </row>
    <row r="1773" spans="1:2" x14ac:dyDescent="0.25">
      <c r="A1773" s="170"/>
      <c r="B1773" s="170"/>
    </row>
    <row r="1774" spans="1:2" x14ac:dyDescent="0.25">
      <c r="A1774" s="170"/>
      <c r="B1774" s="170"/>
    </row>
    <row r="1775" spans="1:2" x14ac:dyDescent="0.25">
      <c r="A1775" s="170"/>
      <c r="B1775" s="170"/>
    </row>
    <row r="1776" spans="1:2" x14ac:dyDescent="0.25">
      <c r="A1776" s="170"/>
      <c r="B1776" s="170"/>
    </row>
    <row r="1777" spans="1:2" x14ac:dyDescent="0.25">
      <c r="A1777" s="170"/>
      <c r="B1777" s="170"/>
    </row>
    <row r="1778" spans="1:2" x14ac:dyDescent="0.25">
      <c r="A1778" s="170"/>
      <c r="B1778" s="170"/>
    </row>
    <row r="1779" spans="1:2" x14ac:dyDescent="0.25">
      <c r="A1779" s="170"/>
      <c r="B1779" s="170"/>
    </row>
    <row r="1780" spans="1:2" x14ac:dyDescent="0.25">
      <c r="A1780" s="170"/>
      <c r="B1780" s="170"/>
    </row>
    <row r="1781" spans="1:2" x14ac:dyDescent="0.25">
      <c r="A1781" s="170"/>
      <c r="B1781" s="170"/>
    </row>
    <row r="1782" spans="1:2" x14ac:dyDescent="0.25">
      <c r="A1782" s="170"/>
      <c r="B1782" s="170"/>
    </row>
    <row r="1783" spans="1:2" x14ac:dyDescent="0.25">
      <c r="A1783" s="170"/>
      <c r="B1783" s="170"/>
    </row>
    <row r="1784" spans="1:2" x14ac:dyDescent="0.25">
      <c r="A1784" s="170"/>
      <c r="B1784" s="170"/>
    </row>
    <row r="1785" spans="1:2" x14ac:dyDescent="0.25">
      <c r="A1785" s="170"/>
      <c r="B1785" s="170"/>
    </row>
    <row r="1786" spans="1:2" x14ac:dyDescent="0.25">
      <c r="A1786" s="170"/>
      <c r="B1786" s="170"/>
    </row>
    <row r="1787" spans="1:2" x14ac:dyDescent="0.25">
      <c r="A1787" s="170"/>
      <c r="B1787" s="170"/>
    </row>
    <row r="1788" spans="1:2" x14ac:dyDescent="0.25">
      <c r="A1788" s="170"/>
      <c r="B1788" s="170"/>
    </row>
    <row r="1789" spans="1:2" x14ac:dyDescent="0.25">
      <c r="A1789" s="170"/>
      <c r="B1789" s="170"/>
    </row>
    <row r="1790" spans="1:2" x14ac:dyDescent="0.25">
      <c r="A1790" s="170"/>
      <c r="B1790" s="170"/>
    </row>
    <row r="1791" spans="1:2" x14ac:dyDescent="0.25">
      <c r="A1791" s="170"/>
      <c r="B1791" s="170"/>
    </row>
    <row r="1792" spans="1:2" x14ac:dyDescent="0.25">
      <c r="A1792" s="170"/>
      <c r="B1792" s="170"/>
    </row>
    <row r="1793" spans="1:2" x14ac:dyDescent="0.25">
      <c r="A1793" s="170"/>
      <c r="B1793" s="170"/>
    </row>
    <row r="1794" spans="1:2" x14ac:dyDescent="0.25">
      <c r="A1794" s="170"/>
      <c r="B1794" s="170"/>
    </row>
    <row r="1795" spans="1:2" x14ac:dyDescent="0.25">
      <c r="A1795" s="170"/>
      <c r="B1795" s="170"/>
    </row>
    <row r="1796" spans="1:2" x14ac:dyDescent="0.25">
      <c r="A1796" s="170"/>
      <c r="B1796" s="170"/>
    </row>
    <row r="1797" spans="1:2" x14ac:dyDescent="0.25">
      <c r="A1797" s="170"/>
      <c r="B1797" s="170"/>
    </row>
    <row r="1798" spans="1:2" x14ac:dyDescent="0.25">
      <c r="A1798" s="170"/>
      <c r="B1798" s="170"/>
    </row>
    <row r="1799" spans="1:2" x14ac:dyDescent="0.25">
      <c r="A1799" s="170"/>
      <c r="B1799" s="170"/>
    </row>
    <row r="1800" spans="1:2" x14ac:dyDescent="0.25">
      <c r="A1800" s="170"/>
      <c r="B1800" s="170"/>
    </row>
    <row r="1801" spans="1:2" x14ac:dyDescent="0.25">
      <c r="A1801" s="170"/>
      <c r="B1801" s="170"/>
    </row>
    <row r="1802" spans="1:2" x14ac:dyDescent="0.25">
      <c r="A1802" s="170"/>
      <c r="B1802" s="170"/>
    </row>
    <row r="1803" spans="1:2" x14ac:dyDescent="0.25">
      <c r="A1803" s="170"/>
      <c r="B1803" s="170"/>
    </row>
    <row r="1804" spans="1:2" x14ac:dyDescent="0.25">
      <c r="A1804" s="170"/>
      <c r="B1804" s="170"/>
    </row>
    <row r="1805" spans="1:2" x14ac:dyDescent="0.25">
      <c r="A1805" s="170"/>
      <c r="B1805" s="170"/>
    </row>
    <row r="1806" spans="1:2" x14ac:dyDescent="0.25">
      <c r="A1806" s="170"/>
      <c r="B1806" s="170"/>
    </row>
    <row r="1807" spans="1:2" x14ac:dyDescent="0.25">
      <c r="A1807" s="170"/>
      <c r="B1807" s="170"/>
    </row>
    <row r="1808" spans="1:2" x14ac:dyDescent="0.25">
      <c r="A1808" s="170"/>
      <c r="B1808" s="170"/>
    </row>
    <row r="1809" spans="1:2" x14ac:dyDescent="0.25">
      <c r="A1809" s="170"/>
      <c r="B1809" s="170"/>
    </row>
    <row r="1810" spans="1:2" x14ac:dyDescent="0.25">
      <c r="A1810" s="170"/>
      <c r="B1810" s="170"/>
    </row>
    <row r="1811" spans="1:2" x14ac:dyDescent="0.25">
      <c r="A1811" s="170"/>
      <c r="B1811" s="170"/>
    </row>
    <row r="1812" spans="1:2" x14ac:dyDescent="0.25">
      <c r="A1812" s="170"/>
      <c r="B1812" s="170"/>
    </row>
    <row r="1813" spans="1:2" x14ac:dyDescent="0.25">
      <c r="A1813" s="170"/>
      <c r="B1813" s="170"/>
    </row>
    <row r="1814" spans="1:2" x14ac:dyDescent="0.25">
      <c r="A1814" s="170"/>
      <c r="B1814" s="170"/>
    </row>
    <row r="1815" spans="1:2" x14ac:dyDescent="0.25">
      <c r="A1815" s="170"/>
      <c r="B1815" s="170"/>
    </row>
    <row r="1816" spans="1:2" x14ac:dyDescent="0.25">
      <c r="A1816" s="170"/>
      <c r="B1816" s="170"/>
    </row>
    <row r="1817" spans="1:2" x14ac:dyDescent="0.25">
      <c r="A1817" s="170"/>
      <c r="B1817" s="170"/>
    </row>
    <row r="1818" spans="1:2" x14ac:dyDescent="0.25">
      <c r="A1818" s="170"/>
      <c r="B1818" s="170"/>
    </row>
    <row r="1819" spans="1:2" x14ac:dyDescent="0.25">
      <c r="A1819" s="170"/>
      <c r="B1819" s="170"/>
    </row>
    <row r="1820" spans="1:2" x14ac:dyDescent="0.25">
      <c r="A1820" s="170"/>
      <c r="B1820" s="170"/>
    </row>
    <row r="1821" spans="1:2" x14ac:dyDescent="0.25">
      <c r="A1821" s="170"/>
      <c r="B1821" s="170"/>
    </row>
    <row r="1822" spans="1:2" x14ac:dyDescent="0.25">
      <c r="A1822" s="170"/>
      <c r="B1822" s="170"/>
    </row>
    <row r="1823" spans="1:2" x14ac:dyDescent="0.25">
      <c r="A1823" s="170"/>
      <c r="B1823" s="170"/>
    </row>
    <row r="1824" spans="1:2" x14ac:dyDescent="0.25">
      <c r="A1824" s="170"/>
      <c r="B1824" s="170"/>
    </row>
    <row r="1825" spans="1:2" x14ac:dyDescent="0.25">
      <c r="A1825" s="170"/>
      <c r="B1825" s="170"/>
    </row>
    <row r="1826" spans="1:2" x14ac:dyDescent="0.25">
      <c r="A1826" s="170"/>
      <c r="B1826" s="170"/>
    </row>
    <row r="1827" spans="1:2" x14ac:dyDescent="0.25">
      <c r="A1827" s="170"/>
      <c r="B1827" s="170"/>
    </row>
    <row r="1828" spans="1:2" x14ac:dyDescent="0.25">
      <c r="A1828" s="170"/>
      <c r="B1828" s="170"/>
    </row>
    <row r="1829" spans="1:2" x14ac:dyDescent="0.25">
      <c r="A1829" s="170"/>
      <c r="B1829" s="170"/>
    </row>
    <row r="1830" spans="1:2" x14ac:dyDescent="0.25">
      <c r="A1830" s="170"/>
      <c r="B1830" s="170"/>
    </row>
    <row r="1831" spans="1:2" x14ac:dyDescent="0.25">
      <c r="A1831" s="170"/>
      <c r="B1831" s="170"/>
    </row>
    <row r="1832" spans="1:2" x14ac:dyDescent="0.25">
      <c r="A1832" s="170"/>
      <c r="B1832" s="170"/>
    </row>
    <row r="1833" spans="1:2" x14ac:dyDescent="0.25">
      <c r="A1833" s="170"/>
      <c r="B1833" s="170"/>
    </row>
    <row r="1834" spans="1:2" x14ac:dyDescent="0.25">
      <c r="A1834" s="170"/>
      <c r="B1834" s="170"/>
    </row>
    <row r="1835" spans="1:2" x14ac:dyDescent="0.25">
      <c r="A1835" s="170"/>
      <c r="B1835" s="170"/>
    </row>
    <row r="1836" spans="1:2" x14ac:dyDescent="0.25">
      <c r="A1836" s="170"/>
      <c r="B1836" s="170"/>
    </row>
    <row r="1837" spans="1:2" x14ac:dyDescent="0.25">
      <c r="A1837" s="170"/>
      <c r="B1837" s="170"/>
    </row>
    <row r="1838" spans="1:2" x14ac:dyDescent="0.25">
      <c r="A1838" s="170"/>
      <c r="B1838" s="170"/>
    </row>
    <row r="1839" spans="1:2" x14ac:dyDescent="0.25">
      <c r="A1839" s="170"/>
      <c r="B1839" s="170"/>
    </row>
    <row r="1840" spans="1:2" x14ac:dyDescent="0.25">
      <c r="A1840" s="170"/>
      <c r="B1840" s="170"/>
    </row>
    <row r="1841" spans="1:2" x14ac:dyDescent="0.25">
      <c r="A1841" s="170"/>
      <c r="B1841" s="170"/>
    </row>
    <row r="1842" spans="1:2" x14ac:dyDescent="0.25">
      <c r="A1842" s="170"/>
      <c r="B1842" s="170"/>
    </row>
    <row r="1843" spans="1:2" x14ac:dyDescent="0.25">
      <c r="A1843" s="170"/>
      <c r="B1843" s="170"/>
    </row>
    <row r="1844" spans="1:2" x14ac:dyDescent="0.25">
      <c r="A1844" s="170"/>
      <c r="B1844" s="170"/>
    </row>
    <row r="1845" spans="1:2" x14ac:dyDescent="0.25">
      <c r="A1845" s="170"/>
      <c r="B1845" s="170"/>
    </row>
    <row r="1846" spans="1:2" x14ac:dyDescent="0.25">
      <c r="A1846" s="170"/>
      <c r="B1846" s="170"/>
    </row>
    <row r="1847" spans="1:2" x14ac:dyDescent="0.25">
      <c r="A1847" s="170"/>
      <c r="B1847" s="170"/>
    </row>
    <row r="1848" spans="1:2" x14ac:dyDescent="0.25">
      <c r="A1848" s="170"/>
      <c r="B1848" s="170"/>
    </row>
    <row r="1849" spans="1:2" x14ac:dyDescent="0.25">
      <c r="A1849" s="170"/>
      <c r="B1849" s="170"/>
    </row>
    <row r="1850" spans="1:2" x14ac:dyDescent="0.25">
      <c r="A1850" s="170"/>
      <c r="B1850" s="170"/>
    </row>
    <row r="1851" spans="1:2" x14ac:dyDescent="0.25">
      <c r="A1851" s="170"/>
      <c r="B1851" s="170"/>
    </row>
    <row r="1852" spans="1:2" x14ac:dyDescent="0.25">
      <c r="A1852" s="170"/>
      <c r="B1852" s="170"/>
    </row>
    <row r="1853" spans="1:2" x14ac:dyDescent="0.25">
      <c r="A1853" s="170"/>
      <c r="B1853" s="170"/>
    </row>
    <row r="1854" spans="1:2" x14ac:dyDescent="0.25">
      <c r="A1854" s="170"/>
      <c r="B1854" s="170"/>
    </row>
    <row r="1855" spans="1:2" x14ac:dyDescent="0.25">
      <c r="A1855" s="170"/>
      <c r="B1855" s="170"/>
    </row>
    <row r="1856" spans="1:2" x14ac:dyDescent="0.25">
      <c r="A1856" s="170"/>
      <c r="B1856" s="170"/>
    </row>
    <row r="1857" spans="1:2" x14ac:dyDescent="0.25">
      <c r="A1857" s="170"/>
      <c r="B1857" s="170"/>
    </row>
    <row r="1858" spans="1:2" x14ac:dyDescent="0.25">
      <c r="A1858" s="170"/>
      <c r="B1858" s="170"/>
    </row>
    <row r="1859" spans="1:2" x14ac:dyDescent="0.25">
      <c r="A1859" s="170"/>
      <c r="B1859" s="170"/>
    </row>
    <row r="1860" spans="1:2" x14ac:dyDescent="0.25">
      <c r="A1860" s="170"/>
      <c r="B1860" s="170"/>
    </row>
    <row r="1861" spans="1:2" x14ac:dyDescent="0.25">
      <c r="A1861" s="170"/>
      <c r="B1861" s="170"/>
    </row>
    <row r="1862" spans="1:2" x14ac:dyDescent="0.25">
      <c r="A1862" s="170"/>
      <c r="B1862" s="170"/>
    </row>
    <row r="1863" spans="1:2" x14ac:dyDescent="0.25">
      <c r="A1863" s="170"/>
      <c r="B1863" s="170"/>
    </row>
    <row r="1864" spans="1:2" x14ac:dyDescent="0.25">
      <c r="A1864" s="170"/>
      <c r="B1864" s="170"/>
    </row>
    <row r="1865" spans="1:2" x14ac:dyDescent="0.25">
      <c r="A1865" s="170"/>
      <c r="B1865" s="170"/>
    </row>
    <row r="1866" spans="1:2" x14ac:dyDescent="0.25">
      <c r="A1866" s="170"/>
      <c r="B1866" s="170"/>
    </row>
    <row r="1867" spans="1:2" x14ac:dyDescent="0.25">
      <c r="A1867" s="170"/>
      <c r="B1867" s="170"/>
    </row>
    <row r="1868" spans="1:2" x14ac:dyDescent="0.25">
      <c r="A1868" s="170"/>
      <c r="B1868" s="170"/>
    </row>
    <row r="1869" spans="1:2" x14ac:dyDescent="0.25">
      <c r="A1869" s="170"/>
      <c r="B1869" s="170"/>
    </row>
    <row r="1870" spans="1:2" x14ac:dyDescent="0.25">
      <c r="A1870" s="170"/>
      <c r="B1870" s="170"/>
    </row>
    <row r="1871" spans="1:2" x14ac:dyDescent="0.25">
      <c r="A1871" s="170"/>
      <c r="B1871" s="170"/>
    </row>
    <row r="1872" spans="1:2" x14ac:dyDescent="0.25">
      <c r="A1872" s="170"/>
      <c r="B1872" s="170"/>
    </row>
    <row r="1873" spans="1:2" x14ac:dyDescent="0.25">
      <c r="A1873" s="170"/>
      <c r="B1873" s="170"/>
    </row>
    <row r="1874" spans="1:2" x14ac:dyDescent="0.25">
      <c r="A1874" s="170"/>
      <c r="B1874" s="170"/>
    </row>
    <row r="1875" spans="1:2" x14ac:dyDescent="0.25">
      <c r="A1875" s="170"/>
      <c r="B1875" s="170"/>
    </row>
    <row r="1876" spans="1:2" x14ac:dyDescent="0.25">
      <c r="A1876" s="170"/>
      <c r="B1876" s="170"/>
    </row>
    <row r="1877" spans="1:2" x14ac:dyDescent="0.25">
      <c r="A1877" s="170"/>
      <c r="B1877" s="170"/>
    </row>
    <row r="1878" spans="1:2" x14ac:dyDescent="0.25">
      <c r="A1878" s="170"/>
      <c r="B1878" s="170"/>
    </row>
    <row r="1879" spans="1:2" x14ac:dyDescent="0.25">
      <c r="A1879" s="170"/>
      <c r="B1879" s="170"/>
    </row>
    <row r="1880" spans="1:2" x14ac:dyDescent="0.25">
      <c r="A1880" s="170"/>
      <c r="B1880" s="170"/>
    </row>
    <row r="1881" spans="1:2" x14ac:dyDescent="0.25">
      <c r="A1881" s="170"/>
      <c r="B1881" s="170"/>
    </row>
    <row r="1882" spans="1:2" x14ac:dyDescent="0.25">
      <c r="A1882" s="170"/>
      <c r="B1882" s="170"/>
    </row>
    <row r="1883" spans="1:2" x14ac:dyDescent="0.25">
      <c r="A1883" s="170"/>
      <c r="B1883" s="170"/>
    </row>
    <row r="1884" spans="1:2" x14ac:dyDescent="0.25">
      <c r="A1884" s="170"/>
      <c r="B1884" s="170"/>
    </row>
    <row r="1885" spans="1:2" x14ac:dyDescent="0.25">
      <c r="A1885" s="170"/>
      <c r="B1885" s="170"/>
    </row>
    <row r="1886" spans="1:2" x14ac:dyDescent="0.25">
      <c r="A1886" s="170"/>
      <c r="B1886" s="170"/>
    </row>
    <row r="1887" spans="1:2" x14ac:dyDescent="0.25">
      <c r="A1887" s="170"/>
      <c r="B1887" s="170"/>
    </row>
    <row r="1888" spans="1:2" x14ac:dyDescent="0.25">
      <c r="A1888" s="170"/>
      <c r="B1888" s="170"/>
    </row>
    <row r="1889" spans="1:2" x14ac:dyDescent="0.25">
      <c r="A1889" s="170"/>
      <c r="B1889" s="170"/>
    </row>
    <row r="1890" spans="1:2" x14ac:dyDescent="0.25">
      <c r="A1890" s="170"/>
      <c r="B1890" s="170"/>
    </row>
    <row r="1891" spans="1:2" x14ac:dyDescent="0.25">
      <c r="A1891" s="170"/>
      <c r="B1891" s="170"/>
    </row>
    <row r="1892" spans="1:2" x14ac:dyDescent="0.25">
      <c r="A1892" s="170"/>
      <c r="B1892" s="170"/>
    </row>
    <row r="1893" spans="1:2" x14ac:dyDescent="0.25">
      <c r="A1893" s="170"/>
      <c r="B1893" s="170"/>
    </row>
    <row r="1894" spans="1:2" x14ac:dyDescent="0.25">
      <c r="A1894" s="170"/>
      <c r="B1894" s="170"/>
    </row>
    <row r="1895" spans="1:2" x14ac:dyDescent="0.25">
      <c r="A1895" s="170"/>
      <c r="B1895" s="170"/>
    </row>
    <row r="1896" spans="1:2" x14ac:dyDescent="0.25">
      <c r="A1896" s="170"/>
      <c r="B1896" s="170"/>
    </row>
    <row r="1897" spans="1:2" x14ac:dyDescent="0.25">
      <c r="A1897" s="170"/>
      <c r="B1897" s="170"/>
    </row>
    <row r="1898" spans="1:2" x14ac:dyDescent="0.25">
      <c r="A1898" s="170"/>
      <c r="B1898" s="170"/>
    </row>
    <row r="1899" spans="1:2" x14ac:dyDescent="0.25">
      <c r="A1899" s="170"/>
      <c r="B1899" s="170"/>
    </row>
    <row r="1900" spans="1:2" x14ac:dyDescent="0.25">
      <c r="A1900" s="170"/>
      <c r="B1900" s="170"/>
    </row>
    <row r="1901" spans="1:2" x14ac:dyDescent="0.25">
      <c r="A1901" s="170"/>
      <c r="B1901" s="170"/>
    </row>
    <row r="1902" spans="1:2" x14ac:dyDescent="0.25">
      <c r="A1902" s="170"/>
      <c r="B1902" s="170"/>
    </row>
    <row r="1903" spans="1:2" x14ac:dyDescent="0.25">
      <c r="A1903" s="170"/>
      <c r="B1903" s="170"/>
    </row>
    <row r="1904" spans="1:2" x14ac:dyDescent="0.25">
      <c r="A1904" s="170"/>
      <c r="B1904" s="170"/>
    </row>
    <row r="1905" spans="1:2" x14ac:dyDescent="0.25">
      <c r="A1905" s="170"/>
      <c r="B1905" s="170"/>
    </row>
    <row r="1906" spans="1:2" x14ac:dyDescent="0.25">
      <c r="A1906" s="170"/>
      <c r="B1906" s="170"/>
    </row>
    <row r="1907" spans="1:2" x14ac:dyDescent="0.25">
      <c r="A1907" s="170"/>
      <c r="B1907" s="170"/>
    </row>
    <row r="1908" spans="1:2" x14ac:dyDescent="0.25">
      <c r="A1908" s="170"/>
      <c r="B1908" s="170"/>
    </row>
    <row r="1909" spans="1:2" x14ac:dyDescent="0.25">
      <c r="A1909" s="170"/>
      <c r="B1909" s="170"/>
    </row>
    <row r="1910" spans="1:2" x14ac:dyDescent="0.25">
      <c r="A1910" s="170"/>
      <c r="B1910" s="170"/>
    </row>
    <row r="1911" spans="1:2" x14ac:dyDescent="0.25">
      <c r="A1911" s="170"/>
      <c r="B1911" s="170"/>
    </row>
    <row r="1912" spans="1:2" x14ac:dyDescent="0.25">
      <c r="A1912" s="170"/>
      <c r="B1912" s="170"/>
    </row>
    <row r="1913" spans="1:2" x14ac:dyDescent="0.25">
      <c r="A1913" s="170"/>
      <c r="B1913" s="170"/>
    </row>
    <row r="1914" spans="1:2" x14ac:dyDescent="0.25">
      <c r="A1914" s="170"/>
      <c r="B1914" s="170"/>
    </row>
    <row r="1915" spans="1:2" x14ac:dyDescent="0.25">
      <c r="A1915" s="170"/>
      <c r="B1915" s="170"/>
    </row>
    <row r="1916" spans="1:2" x14ac:dyDescent="0.25">
      <c r="A1916" s="170"/>
      <c r="B1916" s="170"/>
    </row>
    <row r="1917" spans="1:2" x14ac:dyDescent="0.25">
      <c r="A1917" s="170"/>
      <c r="B1917" s="170"/>
    </row>
    <row r="1918" spans="1:2" x14ac:dyDescent="0.25">
      <c r="A1918" s="170"/>
      <c r="B1918" s="170"/>
    </row>
    <row r="1919" spans="1:2" x14ac:dyDescent="0.25">
      <c r="A1919" s="170"/>
      <c r="B1919" s="170"/>
    </row>
    <row r="1920" spans="1:2" x14ac:dyDescent="0.25">
      <c r="A1920" s="170"/>
      <c r="B1920" s="170"/>
    </row>
    <row r="1921" spans="1:2" x14ac:dyDescent="0.25">
      <c r="A1921" s="170"/>
      <c r="B1921" s="170"/>
    </row>
    <row r="1922" spans="1:2" x14ac:dyDescent="0.25">
      <c r="A1922" s="170"/>
      <c r="B1922" s="170"/>
    </row>
    <row r="1923" spans="1:2" x14ac:dyDescent="0.25">
      <c r="A1923" s="170"/>
      <c r="B1923" s="170"/>
    </row>
    <row r="1924" spans="1:2" x14ac:dyDescent="0.25">
      <c r="A1924" s="170"/>
      <c r="B1924" s="170"/>
    </row>
    <row r="1925" spans="1:2" x14ac:dyDescent="0.25">
      <c r="A1925" s="170"/>
      <c r="B1925" s="170"/>
    </row>
    <row r="1926" spans="1:2" x14ac:dyDescent="0.25">
      <c r="A1926" s="170"/>
      <c r="B1926" s="170"/>
    </row>
    <row r="1927" spans="1:2" x14ac:dyDescent="0.25">
      <c r="A1927" s="170"/>
      <c r="B1927" s="170"/>
    </row>
    <row r="1928" spans="1:2" x14ac:dyDescent="0.25">
      <c r="A1928" s="170"/>
      <c r="B1928" s="170"/>
    </row>
    <row r="1929" spans="1:2" x14ac:dyDescent="0.25">
      <c r="A1929" s="170"/>
      <c r="B1929" s="170"/>
    </row>
    <row r="1930" spans="1:2" x14ac:dyDescent="0.25">
      <c r="A1930" s="170"/>
      <c r="B1930" s="170"/>
    </row>
    <row r="1931" spans="1:2" x14ac:dyDescent="0.25">
      <c r="A1931" s="170"/>
      <c r="B1931" s="170"/>
    </row>
    <row r="1932" spans="1:2" x14ac:dyDescent="0.25">
      <c r="A1932" s="170"/>
      <c r="B1932" s="170"/>
    </row>
    <row r="1933" spans="1:2" x14ac:dyDescent="0.25">
      <c r="A1933" s="170"/>
      <c r="B1933" s="170"/>
    </row>
    <row r="1934" spans="1:2" x14ac:dyDescent="0.25">
      <c r="A1934" s="170"/>
      <c r="B1934" s="170"/>
    </row>
    <row r="1935" spans="1:2" x14ac:dyDescent="0.25">
      <c r="A1935" s="170"/>
      <c r="B1935" s="170"/>
    </row>
    <row r="1936" spans="1:2" x14ac:dyDescent="0.25">
      <c r="A1936" s="170"/>
      <c r="B1936" s="170"/>
    </row>
    <row r="1937" spans="1:2" x14ac:dyDescent="0.25">
      <c r="A1937" s="170"/>
      <c r="B1937" s="170"/>
    </row>
    <row r="1938" spans="1:2" x14ac:dyDescent="0.25">
      <c r="A1938" s="170"/>
      <c r="B1938" s="170"/>
    </row>
    <row r="1939" spans="1:2" x14ac:dyDescent="0.25">
      <c r="A1939" s="170"/>
      <c r="B1939" s="170"/>
    </row>
    <row r="1940" spans="1:2" x14ac:dyDescent="0.25">
      <c r="A1940" s="170"/>
      <c r="B1940" s="170"/>
    </row>
    <row r="1941" spans="1:2" x14ac:dyDescent="0.25">
      <c r="A1941" s="170"/>
      <c r="B1941" s="170"/>
    </row>
    <row r="1942" spans="1:2" x14ac:dyDescent="0.25">
      <c r="A1942" s="170"/>
      <c r="B1942" s="170"/>
    </row>
    <row r="1943" spans="1:2" x14ac:dyDescent="0.25">
      <c r="A1943" s="170"/>
      <c r="B1943" s="170"/>
    </row>
    <row r="1944" spans="1:2" x14ac:dyDescent="0.25">
      <c r="A1944" s="170"/>
      <c r="B1944" s="170"/>
    </row>
    <row r="1945" spans="1:2" x14ac:dyDescent="0.25">
      <c r="A1945" s="170"/>
      <c r="B1945" s="170"/>
    </row>
    <row r="1946" spans="1:2" x14ac:dyDescent="0.25">
      <c r="A1946" s="170"/>
      <c r="B1946" s="170"/>
    </row>
    <row r="1947" spans="1:2" x14ac:dyDescent="0.25">
      <c r="A1947" s="170"/>
      <c r="B1947" s="170"/>
    </row>
    <row r="1948" spans="1:2" x14ac:dyDescent="0.25">
      <c r="A1948" s="170"/>
      <c r="B1948" s="170"/>
    </row>
    <row r="1949" spans="1:2" x14ac:dyDescent="0.25">
      <c r="A1949" s="170"/>
      <c r="B1949" s="170"/>
    </row>
    <row r="1950" spans="1:2" x14ac:dyDescent="0.25">
      <c r="A1950" s="170"/>
      <c r="B1950" s="170"/>
    </row>
    <row r="1951" spans="1:2" x14ac:dyDescent="0.25">
      <c r="A1951" s="170"/>
      <c r="B1951" s="170"/>
    </row>
    <row r="1952" spans="1:2" x14ac:dyDescent="0.25">
      <c r="A1952" s="170"/>
      <c r="B1952" s="170"/>
    </row>
    <row r="1953" spans="1:2" x14ac:dyDescent="0.25">
      <c r="A1953" s="170"/>
      <c r="B1953" s="170"/>
    </row>
    <row r="1954" spans="1:2" x14ac:dyDescent="0.25">
      <c r="A1954" s="170"/>
      <c r="B1954" s="170"/>
    </row>
    <row r="1955" spans="1:2" x14ac:dyDescent="0.25">
      <c r="A1955" s="170"/>
      <c r="B1955" s="170"/>
    </row>
    <row r="1956" spans="1:2" x14ac:dyDescent="0.25">
      <c r="A1956" s="170"/>
      <c r="B1956" s="170"/>
    </row>
    <row r="1957" spans="1:2" x14ac:dyDescent="0.25">
      <c r="A1957" s="170"/>
      <c r="B1957" s="170"/>
    </row>
    <row r="1958" spans="1:2" x14ac:dyDescent="0.25">
      <c r="A1958" s="170"/>
      <c r="B1958" s="170"/>
    </row>
    <row r="1959" spans="1:2" x14ac:dyDescent="0.25">
      <c r="A1959" s="170"/>
      <c r="B1959" s="170"/>
    </row>
    <row r="1960" spans="1:2" x14ac:dyDescent="0.25">
      <c r="A1960" s="170"/>
      <c r="B1960" s="170"/>
    </row>
    <row r="1961" spans="1:2" x14ac:dyDescent="0.25">
      <c r="A1961" s="170"/>
      <c r="B1961" s="170"/>
    </row>
    <row r="1962" spans="1:2" x14ac:dyDescent="0.25">
      <c r="A1962" s="170"/>
      <c r="B1962" s="170"/>
    </row>
    <row r="1963" spans="1:2" x14ac:dyDescent="0.25">
      <c r="A1963" s="170"/>
      <c r="B1963" s="170"/>
    </row>
    <row r="1964" spans="1:2" x14ac:dyDescent="0.25">
      <c r="A1964" s="170"/>
      <c r="B1964" s="170"/>
    </row>
    <row r="1965" spans="1:2" x14ac:dyDescent="0.25">
      <c r="A1965" s="170"/>
      <c r="B1965" s="170"/>
    </row>
    <row r="1966" spans="1:2" x14ac:dyDescent="0.25">
      <c r="A1966" s="170"/>
      <c r="B1966" s="170"/>
    </row>
    <row r="1967" spans="1:2" x14ac:dyDescent="0.25">
      <c r="A1967" s="170"/>
      <c r="B1967" s="170"/>
    </row>
    <row r="1968" spans="1:2" x14ac:dyDescent="0.25">
      <c r="A1968" s="170"/>
      <c r="B1968" s="170"/>
    </row>
    <row r="1969" spans="1:2" x14ac:dyDescent="0.25">
      <c r="A1969" s="170"/>
      <c r="B1969" s="170"/>
    </row>
    <row r="1970" spans="1:2" x14ac:dyDescent="0.25">
      <c r="A1970" s="170"/>
      <c r="B1970" s="170"/>
    </row>
    <row r="1971" spans="1:2" x14ac:dyDescent="0.25">
      <c r="A1971" s="170"/>
      <c r="B1971" s="170"/>
    </row>
    <row r="1972" spans="1:2" x14ac:dyDescent="0.25">
      <c r="A1972" s="170"/>
      <c r="B1972" s="170"/>
    </row>
    <row r="1973" spans="1:2" x14ac:dyDescent="0.25">
      <c r="A1973" s="170"/>
      <c r="B1973" s="170"/>
    </row>
    <row r="1974" spans="1:2" x14ac:dyDescent="0.25">
      <c r="A1974" s="170"/>
      <c r="B1974" s="170"/>
    </row>
    <row r="1975" spans="1:2" x14ac:dyDescent="0.25">
      <c r="A1975" s="170"/>
      <c r="B1975" s="170"/>
    </row>
    <row r="1976" spans="1:2" x14ac:dyDescent="0.25">
      <c r="A1976" s="170"/>
      <c r="B1976" s="170"/>
    </row>
    <row r="1977" spans="1:2" x14ac:dyDescent="0.25">
      <c r="A1977" s="170"/>
      <c r="B1977" s="170"/>
    </row>
    <row r="1978" spans="1:2" x14ac:dyDescent="0.25">
      <c r="A1978" s="170"/>
      <c r="B1978" s="170"/>
    </row>
    <row r="1979" spans="1:2" x14ac:dyDescent="0.25">
      <c r="A1979" s="170"/>
      <c r="B1979" s="170"/>
    </row>
    <row r="1980" spans="1:2" x14ac:dyDescent="0.25">
      <c r="A1980" s="170"/>
      <c r="B1980" s="170"/>
    </row>
    <row r="1981" spans="1:2" x14ac:dyDescent="0.25">
      <c r="A1981" s="170"/>
      <c r="B1981" s="170"/>
    </row>
    <row r="1982" spans="1:2" x14ac:dyDescent="0.25">
      <c r="A1982" s="170"/>
      <c r="B1982" s="170"/>
    </row>
    <row r="1983" spans="1:2" x14ac:dyDescent="0.25">
      <c r="A1983" s="170"/>
      <c r="B1983" s="170"/>
    </row>
    <row r="1984" spans="1:2" x14ac:dyDescent="0.25">
      <c r="A1984" s="170"/>
      <c r="B1984" s="170"/>
    </row>
    <row r="1985" spans="1:2" x14ac:dyDescent="0.25">
      <c r="A1985" s="170"/>
      <c r="B1985" s="170"/>
    </row>
    <row r="1986" spans="1:2" x14ac:dyDescent="0.25">
      <c r="A1986" s="170"/>
      <c r="B1986" s="170"/>
    </row>
    <row r="1987" spans="1:2" x14ac:dyDescent="0.25">
      <c r="A1987" s="170"/>
      <c r="B1987" s="170"/>
    </row>
    <row r="1988" spans="1:2" x14ac:dyDescent="0.25">
      <c r="A1988" s="170"/>
      <c r="B1988" s="170"/>
    </row>
    <row r="1989" spans="1:2" x14ac:dyDescent="0.25">
      <c r="A1989" s="170"/>
      <c r="B1989" s="170"/>
    </row>
    <row r="1990" spans="1:2" x14ac:dyDescent="0.25">
      <c r="A1990" s="170"/>
      <c r="B1990" s="170"/>
    </row>
    <row r="1991" spans="1:2" x14ac:dyDescent="0.25">
      <c r="A1991" s="170"/>
      <c r="B1991" s="170"/>
    </row>
    <row r="1992" spans="1:2" x14ac:dyDescent="0.25">
      <c r="A1992" s="170"/>
      <c r="B1992" s="170"/>
    </row>
    <row r="1993" spans="1:2" x14ac:dyDescent="0.25">
      <c r="A1993" s="170"/>
      <c r="B1993" s="170"/>
    </row>
    <row r="1994" spans="1:2" x14ac:dyDescent="0.25">
      <c r="A1994" s="170"/>
      <c r="B1994" s="170"/>
    </row>
    <row r="1995" spans="1:2" x14ac:dyDescent="0.25">
      <c r="A1995" s="170"/>
      <c r="B1995" s="170"/>
    </row>
    <row r="1996" spans="1:2" x14ac:dyDescent="0.25">
      <c r="A1996" s="170"/>
      <c r="B1996" s="170"/>
    </row>
    <row r="1997" spans="1:2" x14ac:dyDescent="0.25">
      <c r="A1997" s="170"/>
      <c r="B1997" s="170"/>
    </row>
    <row r="1998" spans="1:2" x14ac:dyDescent="0.25">
      <c r="A1998" s="170"/>
      <c r="B1998" s="170"/>
    </row>
    <row r="1999" spans="1:2" x14ac:dyDescent="0.25">
      <c r="A1999" s="170"/>
      <c r="B1999" s="170"/>
    </row>
    <row r="2000" spans="1:2" x14ac:dyDescent="0.25">
      <c r="A2000" s="170"/>
      <c r="B2000" s="170"/>
    </row>
    <row r="2001" spans="1:2" x14ac:dyDescent="0.25">
      <c r="A2001" s="170"/>
      <c r="B2001" s="170"/>
    </row>
    <row r="2002" spans="1:2" x14ac:dyDescent="0.25">
      <c r="A2002" s="170"/>
      <c r="B2002" s="170"/>
    </row>
    <row r="2003" spans="1:2" x14ac:dyDescent="0.25">
      <c r="A2003" s="170"/>
      <c r="B2003" s="170"/>
    </row>
    <row r="2004" spans="1:2" x14ac:dyDescent="0.25">
      <c r="A2004" s="170"/>
      <c r="B2004" s="170"/>
    </row>
    <row r="2005" spans="1:2" x14ac:dyDescent="0.25">
      <c r="A2005" s="170"/>
      <c r="B2005" s="170"/>
    </row>
    <row r="2006" spans="1:2" x14ac:dyDescent="0.25">
      <c r="A2006" s="170"/>
      <c r="B2006" s="170"/>
    </row>
    <row r="2007" spans="1:2" x14ac:dyDescent="0.25">
      <c r="A2007" s="170"/>
      <c r="B2007" s="170"/>
    </row>
    <row r="2008" spans="1:2" x14ac:dyDescent="0.25">
      <c r="A2008" s="170"/>
      <c r="B2008" s="170"/>
    </row>
    <row r="2009" spans="1:2" x14ac:dyDescent="0.25">
      <c r="A2009" s="170"/>
      <c r="B2009" s="170"/>
    </row>
    <row r="2010" spans="1:2" x14ac:dyDescent="0.25">
      <c r="A2010" s="170"/>
      <c r="B2010" s="170"/>
    </row>
    <row r="2011" spans="1:2" x14ac:dyDescent="0.25">
      <c r="A2011" s="170"/>
      <c r="B2011" s="170"/>
    </row>
    <row r="2012" spans="1:2" x14ac:dyDescent="0.25">
      <c r="A2012" s="170"/>
      <c r="B2012" s="170"/>
    </row>
    <row r="2013" spans="1:2" x14ac:dyDescent="0.25">
      <c r="A2013" s="170"/>
      <c r="B2013" s="170"/>
    </row>
    <row r="2014" spans="1:2" x14ac:dyDescent="0.25">
      <c r="A2014" s="170"/>
      <c r="B2014" s="170"/>
    </row>
    <row r="2015" spans="1:2" x14ac:dyDescent="0.25">
      <c r="A2015" s="170"/>
      <c r="B2015" s="170"/>
    </row>
    <row r="2016" spans="1:2" x14ac:dyDescent="0.25">
      <c r="A2016" s="170"/>
      <c r="B2016" s="170"/>
    </row>
    <row r="2017" spans="1:2" x14ac:dyDescent="0.25">
      <c r="A2017" s="170"/>
      <c r="B2017" s="170"/>
    </row>
    <row r="2018" spans="1:2" x14ac:dyDescent="0.25">
      <c r="A2018" s="170"/>
      <c r="B2018" s="170"/>
    </row>
    <row r="2019" spans="1:2" x14ac:dyDescent="0.25">
      <c r="A2019" s="170"/>
      <c r="B2019" s="170"/>
    </row>
    <row r="2020" spans="1:2" x14ac:dyDescent="0.25">
      <c r="A2020" s="170"/>
      <c r="B2020" s="170"/>
    </row>
    <row r="2021" spans="1:2" x14ac:dyDescent="0.25">
      <c r="A2021" s="170"/>
      <c r="B2021" s="170"/>
    </row>
    <row r="2022" spans="1:2" x14ac:dyDescent="0.25">
      <c r="A2022" s="170"/>
      <c r="B2022" s="170"/>
    </row>
    <row r="2023" spans="1:2" x14ac:dyDescent="0.25">
      <c r="A2023" s="170"/>
      <c r="B2023" s="170"/>
    </row>
    <row r="2024" spans="1:2" x14ac:dyDescent="0.25">
      <c r="A2024" s="170"/>
      <c r="B2024" s="170"/>
    </row>
    <row r="2025" spans="1:2" x14ac:dyDescent="0.25">
      <c r="A2025" s="170"/>
      <c r="B2025" s="170"/>
    </row>
    <row r="2026" spans="1:2" x14ac:dyDescent="0.25">
      <c r="A2026" s="170"/>
      <c r="B2026" s="170"/>
    </row>
    <row r="2027" spans="1:2" x14ac:dyDescent="0.25">
      <c r="A2027" s="170"/>
      <c r="B2027" s="170"/>
    </row>
    <row r="2028" spans="1:2" x14ac:dyDescent="0.25">
      <c r="A2028" s="170"/>
      <c r="B2028" s="170"/>
    </row>
    <row r="2029" spans="1:2" x14ac:dyDescent="0.25">
      <c r="A2029" s="170"/>
      <c r="B2029" s="170"/>
    </row>
    <row r="2030" spans="1:2" x14ac:dyDescent="0.25">
      <c r="A2030" s="170"/>
      <c r="B2030" s="170"/>
    </row>
    <row r="2031" spans="1:2" x14ac:dyDescent="0.25">
      <c r="A2031" s="170"/>
      <c r="B2031" s="170"/>
    </row>
    <row r="2032" spans="1:2" x14ac:dyDescent="0.25">
      <c r="A2032" s="170"/>
      <c r="B2032" s="170"/>
    </row>
    <row r="2033" spans="1:2" x14ac:dyDescent="0.25">
      <c r="A2033" s="170"/>
      <c r="B2033" s="170"/>
    </row>
    <row r="2034" spans="1:2" x14ac:dyDescent="0.25">
      <c r="A2034" s="170"/>
      <c r="B2034" s="170"/>
    </row>
    <row r="2035" spans="1:2" x14ac:dyDescent="0.25">
      <c r="A2035" s="170"/>
      <c r="B2035" s="170"/>
    </row>
    <row r="2036" spans="1:2" x14ac:dyDescent="0.25">
      <c r="A2036" s="170"/>
      <c r="B2036" s="170"/>
    </row>
    <row r="2037" spans="1:2" x14ac:dyDescent="0.25">
      <c r="A2037" s="170"/>
      <c r="B2037" s="170"/>
    </row>
    <row r="2038" spans="1:2" x14ac:dyDescent="0.25">
      <c r="A2038" s="170"/>
      <c r="B2038" s="170"/>
    </row>
    <row r="2039" spans="1:2" x14ac:dyDescent="0.25">
      <c r="A2039" s="170"/>
      <c r="B2039" s="170"/>
    </row>
    <row r="2040" spans="1:2" x14ac:dyDescent="0.25">
      <c r="A2040" s="170"/>
      <c r="B2040" s="170"/>
    </row>
    <row r="2041" spans="1:2" x14ac:dyDescent="0.25">
      <c r="A2041" s="170"/>
      <c r="B2041" s="170"/>
    </row>
    <row r="2042" spans="1:2" x14ac:dyDescent="0.25">
      <c r="A2042" s="170"/>
      <c r="B2042" s="170"/>
    </row>
    <row r="2043" spans="1:2" x14ac:dyDescent="0.25">
      <c r="A2043" s="170"/>
      <c r="B2043" s="170"/>
    </row>
    <row r="2044" spans="1:2" x14ac:dyDescent="0.25">
      <c r="A2044" s="170"/>
      <c r="B2044" s="170"/>
    </row>
    <row r="2045" spans="1:2" x14ac:dyDescent="0.25">
      <c r="A2045" s="170"/>
      <c r="B2045" s="170"/>
    </row>
    <row r="2046" spans="1:2" x14ac:dyDescent="0.25">
      <c r="A2046" s="170"/>
      <c r="B2046" s="170"/>
    </row>
    <row r="2047" spans="1:2" x14ac:dyDescent="0.25">
      <c r="A2047" s="170"/>
      <c r="B2047" s="170"/>
    </row>
    <row r="2048" spans="1:2" x14ac:dyDescent="0.25">
      <c r="A2048" s="170"/>
      <c r="B2048" s="170"/>
    </row>
    <row r="2049" spans="1:2" x14ac:dyDescent="0.25">
      <c r="A2049" s="170"/>
      <c r="B2049" s="170"/>
    </row>
    <row r="2050" spans="1:2" x14ac:dyDescent="0.25">
      <c r="A2050" s="170"/>
      <c r="B2050" s="170"/>
    </row>
    <row r="2051" spans="1:2" x14ac:dyDescent="0.25">
      <c r="A2051" s="170"/>
      <c r="B2051" s="170"/>
    </row>
    <row r="2052" spans="1:2" x14ac:dyDescent="0.25">
      <c r="A2052" s="170"/>
      <c r="B2052" s="170"/>
    </row>
    <row r="2053" spans="1:2" x14ac:dyDescent="0.25">
      <c r="A2053" s="170"/>
      <c r="B2053" s="170"/>
    </row>
    <row r="2054" spans="1:2" x14ac:dyDescent="0.25">
      <c r="A2054" s="170"/>
      <c r="B2054" s="170"/>
    </row>
    <row r="2055" spans="1:2" x14ac:dyDescent="0.25">
      <c r="A2055" s="170"/>
      <c r="B2055" s="170"/>
    </row>
    <row r="2056" spans="1:2" x14ac:dyDescent="0.25">
      <c r="A2056" s="170"/>
      <c r="B2056" s="170"/>
    </row>
    <row r="2057" spans="1:2" x14ac:dyDescent="0.25">
      <c r="A2057" s="170"/>
      <c r="B2057" s="170"/>
    </row>
    <row r="2058" spans="1:2" x14ac:dyDescent="0.25">
      <c r="A2058" s="170"/>
      <c r="B2058" s="170"/>
    </row>
    <row r="2059" spans="1:2" x14ac:dyDescent="0.25">
      <c r="A2059" s="170"/>
      <c r="B2059" s="170"/>
    </row>
    <row r="2060" spans="1:2" x14ac:dyDescent="0.25">
      <c r="A2060" s="170"/>
      <c r="B2060" s="170"/>
    </row>
    <row r="2061" spans="1:2" x14ac:dyDescent="0.25">
      <c r="A2061" s="170"/>
      <c r="B2061" s="170"/>
    </row>
    <row r="2062" spans="1:2" x14ac:dyDescent="0.25">
      <c r="A2062" s="170"/>
      <c r="B2062" s="170"/>
    </row>
    <row r="2063" spans="1:2" x14ac:dyDescent="0.25">
      <c r="A2063" s="170"/>
      <c r="B2063" s="170"/>
    </row>
    <row r="2064" spans="1:2" x14ac:dyDescent="0.25">
      <c r="A2064" s="170"/>
      <c r="B2064" s="170"/>
    </row>
    <row r="2065" spans="1:2" x14ac:dyDescent="0.25">
      <c r="A2065" s="170"/>
      <c r="B2065" s="170"/>
    </row>
    <row r="2066" spans="1:2" x14ac:dyDescent="0.25">
      <c r="A2066" s="170"/>
      <c r="B2066" s="170"/>
    </row>
    <row r="2067" spans="1:2" x14ac:dyDescent="0.25">
      <c r="A2067" s="170"/>
      <c r="B2067" s="170"/>
    </row>
    <row r="2068" spans="1:2" x14ac:dyDescent="0.25">
      <c r="A2068" s="170"/>
      <c r="B2068" s="170"/>
    </row>
    <row r="2069" spans="1:2" x14ac:dyDescent="0.25">
      <c r="A2069" s="170"/>
      <c r="B2069" s="170"/>
    </row>
    <row r="2070" spans="1:2" x14ac:dyDescent="0.25">
      <c r="A2070" s="170"/>
      <c r="B2070" s="170"/>
    </row>
    <row r="2071" spans="1:2" x14ac:dyDescent="0.25">
      <c r="A2071" s="170"/>
      <c r="B2071" s="170"/>
    </row>
    <row r="2072" spans="1:2" x14ac:dyDescent="0.25">
      <c r="A2072" s="170"/>
      <c r="B2072" s="170"/>
    </row>
    <row r="2073" spans="1:2" x14ac:dyDescent="0.25">
      <c r="A2073" s="170"/>
      <c r="B2073" s="170"/>
    </row>
    <row r="2074" spans="1:2" x14ac:dyDescent="0.25">
      <c r="A2074" s="170"/>
      <c r="B2074" s="170"/>
    </row>
    <row r="2075" spans="1:2" x14ac:dyDescent="0.25">
      <c r="A2075" s="170"/>
      <c r="B2075" s="170"/>
    </row>
    <row r="2076" spans="1:2" x14ac:dyDescent="0.25">
      <c r="A2076" s="170"/>
      <c r="B2076" s="170"/>
    </row>
    <row r="2077" spans="1:2" x14ac:dyDescent="0.25">
      <c r="A2077" s="170"/>
      <c r="B2077" s="170"/>
    </row>
    <row r="2078" spans="1:2" x14ac:dyDescent="0.25">
      <c r="A2078" s="170"/>
      <c r="B2078" s="170"/>
    </row>
    <row r="2079" spans="1:2" x14ac:dyDescent="0.25">
      <c r="A2079" s="170"/>
      <c r="B2079" s="170"/>
    </row>
    <row r="2080" spans="1:2" x14ac:dyDescent="0.25">
      <c r="A2080" s="170"/>
      <c r="B2080" s="170"/>
    </row>
    <row r="2081" spans="1:2" x14ac:dyDescent="0.25">
      <c r="A2081" s="170"/>
      <c r="B2081" s="170"/>
    </row>
    <row r="2082" spans="1:2" x14ac:dyDescent="0.25">
      <c r="A2082" s="170"/>
      <c r="B2082" s="170"/>
    </row>
    <row r="2083" spans="1:2" x14ac:dyDescent="0.25">
      <c r="A2083" s="170"/>
      <c r="B2083" s="170"/>
    </row>
    <row r="2084" spans="1:2" x14ac:dyDescent="0.25">
      <c r="A2084" s="170"/>
      <c r="B2084" s="170"/>
    </row>
    <row r="2085" spans="1:2" x14ac:dyDescent="0.25">
      <c r="A2085" s="170"/>
      <c r="B2085" s="170"/>
    </row>
    <row r="2086" spans="1:2" x14ac:dyDescent="0.25">
      <c r="A2086" s="170"/>
      <c r="B2086" s="170"/>
    </row>
    <row r="2087" spans="1:2" x14ac:dyDescent="0.25">
      <c r="A2087" s="170"/>
      <c r="B2087" s="170"/>
    </row>
    <row r="2088" spans="1:2" x14ac:dyDescent="0.25">
      <c r="A2088" s="170"/>
      <c r="B2088" s="170"/>
    </row>
    <row r="2089" spans="1:2" x14ac:dyDescent="0.25">
      <c r="A2089" s="170"/>
      <c r="B2089" s="170"/>
    </row>
    <row r="2090" spans="1:2" x14ac:dyDescent="0.25">
      <c r="A2090" s="170"/>
      <c r="B2090" s="170"/>
    </row>
    <row r="2091" spans="1:2" x14ac:dyDescent="0.25">
      <c r="A2091" s="170"/>
      <c r="B2091" s="170"/>
    </row>
    <row r="2092" spans="1:2" x14ac:dyDescent="0.25">
      <c r="A2092" s="170"/>
      <c r="B2092" s="170"/>
    </row>
    <row r="2093" spans="1:2" x14ac:dyDescent="0.25">
      <c r="A2093" s="170"/>
      <c r="B2093" s="170"/>
    </row>
    <row r="2094" spans="1:2" x14ac:dyDescent="0.25">
      <c r="A2094" s="170"/>
      <c r="B2094" s="170"/>
    </row>
    <row r="2095" spans="1:2" x14ac:dyDescent="0.25">
      <c r="A2095" s="170"/>
      <c r="B2095" s="170"/>
    </row>
    <row r="2096" spans="1:2" x14ac:dyDescent="0.25">
      <c r="A2096" s="170"/>
      <c r="B2096" s="170"/>
    </row>
    <row r="2097" spans="1:2" x14ac:dyDescent="0.25">
      <c r="A2097" s="170"/>
      <c r="B2097" s="170"/>
    </row>
    <row r="2098" spans="1:2" x14ac:dyDescent="0.25">
      <c r="A2098" s="170"/>
      <c r="B2098" s="170"/>
    </row>
    <row r="2099" spans="1:2" x14ac:dyDescent="0.25">
      <c r="A2099" s="170"/>
      <c r="B2099" s="170"/>
    </row>
    <row r="2100" spans="1:2" x14ac:dyDescent="0.25">
      <c r="A2100" s="170"/>
      <c r="B2100" s="170"/>
    </row>
    <row r="2101" spans="1:2" x14ac:dyDescent="0.25">
      <c r="A2101" s="170"/>
      <c r="B2101" s="170"/>
    </row>
    <row r="2102" spans="1:2" x14ac:dyDescent="0.25">
      <c r="A2102" s="170"/>
      <c r="B2102" s="170"/>
    </row>
    <row r="2103" spans="1:2" x14ac:dyDescent="0.25">
      <c r="A2103" s="170"/>
      <c r="B2103" s="170"/>
    </row>
    <row r="2104" spans="1:2" x14ac:dyDescent="0.25">
      <c r="A2104" s="170"/>
      <c r="B2104" s="170"/>
    </row>
    <row r="2105" spans="1:2" x14ac:dyDescent="0.25">
      <c r="A2105" s="170"/>
      <c r="B2105" s="170"/>
    </row>
    <row r="2106" spans="1:2" x14ac:dyDescent="0.25">
      <c r="A2106" s="170"/>
      <c r="B2106" s="170"/>
    </row>
    <row r="2107" spans="1:2" x14ac:dyDescent="0.25">
      <c r="A2107" s="170"/>
      <c r="B2107" s="170"/>
    </row>
    <row r="2108" spans="1:2" x14ac:dyDescent="0.25">
      <c r="A2108" s="170"/>
      <c r="B2108" s="170"/>
    </row>
    <row r="2109" spans="1:2" x14ac:dyDescent="0.25">
      <c r="A2109" s="170"/>
      <c r="B2109" s="170"/>
    </row>
    <row r="2110" spans="1:2" x14ac:dyDescent="0.25">
      <c r="A2110" s="170"/>
      <c r="B2110" s="170"/>
    </row>
    <row r="2111" spans="1:2" x14ac:dyDescent="0.25">
      <c r="A2111" s="170"/>
      <c r="B2111" s="170"/>
    </row>
    <row r="2112" spans="1:2" x14ac:dyDescent="0.25">
      <c r="A2112" s="170"/>
      <c r="B2112" s="170"/>
    </row>
    <row r="2113" spans="1:2" x14ac:dyDescent="0.25">
      <c r="A2113" s="170"/>
      <c r="B2113" s="170"/>
    </row>
    <row r="2114" spans="1:2" x14ac:dyDescent="0.25">
      <c r="A2114" s="170"/>
      <c r="B2114" s="170"/>
    </row>
    <row r="2115" spans="1:2" x14ac:dyDescent="0.25">
      <c r="A2115" s="170"/>
      <c r="B2115" s="170"/>
    </row>
    <row r="2116" spans="1:2" x14ac:dyDescent="0.25">
      <c r="A2116" s="170"/>
      <c r="B2116" s="170"/>
    </row>
    <row r="2117" spans="1:2" x14ac:dyDescent="0.25">
      <c r="A2117" s="170"/>
      <c r="B2117" s="170"/>
    </row>
    <row r="2118" spans="1:2" x14ac:dyDescent="0.25">
      <c r="A2118" s="170"/>
      <c r="B2118" s="170"/>
    </row>
    <row r="2119" spans="1:2" x14ac:dyDescent="0.25">
      <c r="A2119" s="170"/>
      <c r="B2119" s="170"/>
    </row>
    <row r="2120" spans="1:2" x14ac:dyDescent="0.25">
      <c r="A2120" s="170"/>
      <c r="B2120" s="170"/>
    </row>
    <row r="2121" spans="1:2" x14ac:dyDescent="0.25">
      <c r="A2121" s="170"/>
      <c r="B2121" s="170"/>
    </row>
    <row r="2122" spans="1:2" x14ac:dyDescent="0.25">
      <c r="A2122" s="170"/>
      <c r="B2122" s="170"/>
    </row>
    <row r="2123" spans="1:2" x14ac:dyDescent="0.25">
      <c r="A2123" s="170"/>
      <c r="B2123" s="170"/>
    </row>
    <row r="2124" spans="1:2" x14ac:dyDescent="0.25">
      <c r="A2124" s="170"/>
      <c r="B2124" s="170"/>
    </row>
    <row r="2125" spans="1:2" x14ac:dyDescent="0.25">
      <c r="A2125" s="170"/>
      <c r="B2125" s="170"/>
    </row>
    <row r="2126" spans="1:2" x14ac:dyDescent="0.25">
      <c r="A2126" s="170"/>
      <c r="B2126" s="170"/>
    </row>
    <row r="2127" spans="1:2" x14ac:dyDescent="0.25">
      <c r="A2127" s="170"/>
      <c r="B2127" s="170"/>
    </row>
    <row r="2128" spans="1:2" x14ac:dyDescent="0.25">
      <c r="A2128" s="170"/>
      <c r="B2128" s="170"/>
    </row>
    <row r="2129" spans="1:2" x14ac:dyDescent="0.25">
      <c r="A2129" s="170"/>
      <c r="B2129" s="170"/>
    </row>
    <row r="2130" spans="1:2" x14ac:dyDescent="0.25">
      <c r="A2130" s="170"/>
      <c r="B2130" s="170"/>
    </row>
    <row r="2131" spans="1:2" x14ac:dyDescent="0.25">
      <c r="A2131" s="170"/>
      <c r="B2131" s="170"/>
    </row>
    <row r="2132" spans="1:2" x14ac:dyDescent="0.25">
      <c r="A2132" s="170"/>
      <c r="B2132" s="170"/>
    </row>
    <row r="2133" spans="1:2" x14ac:dyDescent="0.25">
      <c r="A2133" s="170"/>
      <c r="B2133" s="170"/>
    </row>
    <row r="2134" spans="1:2" x14ac:dyDescent="0.25">
      <c r="A2134" s="170"/>
      <c r="B2134" s="170"/>
    </row>
    <row r="2135" spans="1:2" x14ac:dyDescent="0.25">
      <c r="A2135" s="170"/>
      <c r="B2135" s="170"/>
    </row>
    <row r="2136" spans="1:2" x14ac:dyDescent="0.25">
      <c r="A2136" s="170"/>
      <c r="B2136" s="170"/>
    </row>
    <row r="2137" spans="1:2" x14ac:dyDescent="0.25">
      <c r="A2137" s="170"/>
      <c r="B2137" s="170"/>
    </row>
    <row r="2138" spans="1:2" x14ac:dyDescent="0.25">
      <c r="A2138" s="170"/>
      <c r="B2138" s="170"/>
    </row>
    <row r="2139" spans="1:2" x14ac:dyDescent="0.25">
      <c r="A2139" s="170"/>
      <c r="B2139" s="170"/>
    </row>
    <row r="2140" spans="1:2" x14ac:dyDescent="0.25">
      <c r="A2140" s="170"/>
      <c r="B2140" s="170"/>
    </row>
    <row r="2141" spans="1:2" x14ac:dyDescent="0.25">
      <c r="A2141" s="170"/>
      <c r="B2141" s="170"/>
    </row>
    <row r="2142" spans="1:2" x14ac:dyDescent="0.25">
      <c r="A2142" s="170"/>
      <c r="B2142" s="170"/>
    </row>
    <row r="2143" spans="1:2" x14ac:dyDescent="0.25">
      <c r="A2143" s="170"/>
      <c r="B2143" s="170"/>
    </row>
    <row r="2144" spans="1:2" x14ac:dyDescent="0.25">
      <c r="A2144" s="170"/>
      <c r="B2144" s="170"/>
    </row>
    <row r="2145" spans="1:2" x14ac:dyDescent="0.25">
      <c r="A2145" s="170"/>
      <c r="B2145" s="170"/>
    </row>
    <row r="2146" spans="1:2" x14ac:dyDescent="0.25">
      <c r="A2146" s="170"/>
      <c r="B2146" s="170"/>
    </row>
    <row r="2147" spans="1:2" x14ac:dyDescent="0.25">
      <c r="A2147" s="170"/>
      <c r="B2147" s="170"/>
    </row>
    <row r="2148" spans="1:2" x14ac:dyDescent="0.25">
      <c r="A2148" s="170"/>
      <c r="B2148" s="170"/>
    </row>
    <row r="2149" spans="1:2" x14ac:dyDescent="0.25">
      <c r="A2149" s="170"/>
      <c r="B2149" s="170"/>
    </row>
    <row r="2150" spans="1:2" x14ac:dyDescent="0.25">
      <c r="A2150" s="170"/>
      <c r="B2150" s="170"/>
    </row>
    <row r="2151" spans="1:2" x14ac:dyDescent="0.25">
      <c r="A2151" s="170"/>
      <c r="B2151" s="170"/>
    </row>
    <row r="2152" spans="1:2" x14ac:dyDescent="0.25">
      <c r="A2152" s="170"/>
      <c r="B2152" s="170"/>
    </row>
    <row r="2153" spans="1:2" x14ac:dyDescent="0.25">
      <c r="A2153" s="170"/>
      <c r="B2153" s="170"/>
    </row>
    <row r="2154" spans="1:2" x14ac:dyDescent="0.25">
      <c r="A2154" s="170"/>
      <c r="B2154" s="170"/>
    </row>
    <row r="2155" spans="1:2" x14ac:dyDescent="0.25">
      <c r="A2155" s="170"/>
      <c r="B2155" s="170"/>
    </row>
    <row r="2156" spans="1:2" x14ac:dyDescent="0.25">
      <c r="A2156" s="170"/>
      <c r="B2156" s="170"/>
    </row>
    <row r="2157" spans="1:2" x14ac:dyDescent="0.25">
      <c r="A2157" s="170"/>
      <c r="B2157" s="170"/>
    </row>
    <row r="2158" spans="1:2" x14ac:dyDescent="0.25">
      <c r="A2158" s="170"/>
      <c r="B2158" s="170"/>
    </row>
    <row r="2159" spans="1:2" x14ac:dyDescent="0.25">
      <c r="A2159" s="170"/>
      <c r="B2159" s="170"/>
    </row>
    <row r="2160" spans="1:2" x14ac:dyDescent="0.25">
      <c r="A2160" s="170"/>
      <c r="B2160" s="170"/>
    </row>
    <row r="2161" spans="1:2" x14ac:dyDescent="0.25">
      <c r="A2161" s="170"/>
      <c r="B2161" s="170"/>
    </row>
    <row r="2162" spans="1:2" x14ac:dyDescent="0.25">
      <c r="A2162" s="170"/>
      <c r="B2162" s="170"/>
    </row>
    <row r="2163" spans="1:2" x14ac:dyDescent="0.25">
      <c r="A2163" s="170"/>
      <c r="B2163" s="170"/>
    </row>
    <row r="2164" spans="1:2" x14ac:dyDescent="0.25">
      <c r="A2164" s="170"/>
      <c r="B2164" s="170"/>
    </row>
    <row r="2165" spans="1:2" x14ac:dyDescent="0.25">
      <c r="A2165" s="170"/>
      <c r="B2165" s="170"/>
    </row>
    <row r="2166" spans="1:2" x14ac:dyDescent="0.25">
      <c r="A2166" s="170"/>
      <c r="B2166" s="170"/>
    </row>
    <row r="2167" spans="1:2" x14ac:dyDescent="0.25">
      <c r="A2167" s="170"/>
      <c r="B2167" s="170"/>
    </row>
    <row r="2168" spans="1:2" x14ac:dyDescent="0.25">
      <c r="A2168" s="170"/>
      <c r="B2168" s="170"/>
    </row>
    <row r="2169" spans="1:2" x14ac:dyDescent="0.25">
      <c r="A2169" s="170"/>
      <c r="B2169" s="170"/>
    </row>
    <row r="2170" spans="1:2" x14ac:dyDescent="0.25">
      <c r="A2170" s="170"/>
      <c r="B2170" s="170"/>
    </row>
    <row r="2171" spans="1:2" x14ac:dyDescent="0.25">
      <c r="A2171" s="170"/>
      <c r="B2171" s="170"/>
    </row>
    <row r="2172" spans="1:2" x14ac:dyDescent="0.25">
      <c r="A2172" s="170"/>
      <c r="B2172" s="170"/>
    </row>
    <row r="2173" spans="1:2" x14ac:dyDescent="0.25">
      <c r="A2173" s="170"/>
      <c r="B2173" s="170"/>
    </row>
    <row r="2174" spans="1:2" x14ac:dyDescent="0.25">
      <c r="A2174" s="170"/>
      <c r="B2174" s="170"/>
    </row>
    <row r="2175" spans="1:2" x14ac:dyDescent="0.25">
      <c r="A2175" s="170"/>
      <c r="B2175" s="170"/>
    </row>
    <row r="2176" spans="1:2" x14ac:dyDescent="0.25">
      <c r="A2176" s="170"/>
      <c r="B2176" s="170"/>
    </row>
    <row r="2177" spans="1:2" x14ac:dyDescent="0.25">
      <c r="A2177" s="170"/>
      <c r="B2177" s="170"/>
    </row>
    <row r="2178" spans="1:2" x14ac:dyDescent="0.25">
      <c r="A2178" s="170"/>
      <c r="B2178" s="170"/>
    </row>
    <row r="2179" spans="1:2" x14ac:dyDescent="0.25">
      <c r="A2179" s="170"/>
      <c r="B2179" s="170"/>
    </row>
    <row r="2180" spans="1:2" x14ac:dyDescent="0.25">
      <c r="A2180" s="170"/>
      <c r="B2180" s="170"/>
    </row>
    <row r="2181" spans="1:2" x14ac:dyDescent="0.25">
      <c r="A2181" s="170"/>
      <c r="B2181" s="170"/>
    </row>
    <row r="2182" spans="1:2" x14ac:dyDescent="0.25">
      <c r="A2182" s="170"/>
      <c r="B2182" s="170"/>
    </row>
    <row r="2183" spans="1:2" x14ac:dyDescent="0.25">
      <c r="A2183" s="170"/>
      <c r="B2183" s="170"/>
    </row>
    <row r="2184" spans="1:2" x14ac:dyDescent="0.25">
      <c r="A2184" s="170"/>
      <c r="B2184" s="170"/>
    </row>
    <row r="2185" spans="1:2" x14ac:dyDescent="0.25">
      <c r="A2185" s="170"/>
      <c r="B2185" s="170"/>
    </row>
    <row r="2186" spans="1:2" x14ac:dyDescent="0.25">
      <c r="A2186" s="170"/>
      <c r="B2186" s="170"/>
    </row>
    <row r="2187" spans="1:2" x14ac:dyDescent="0.25">
      <c r="A2187" s="170"/>
      <c r="B2187" s="170"/>
    </row>
    <row r="2188" spans="1:2" x14ac:dyDescent="0.25">
      <c r="A2188" s="170"/>
      <c r="B2188" s="170"/>
    </row>
    <row r="2189" spans="1:2" x14ac:dyDescent="0.25">
      <c r="A2189" s="170"/>
      <c r="B2189" s="170"/>
    </row>
    <row r="2190" spans="1:2" x14ac:dyDescent="0.25">
      <c r="A2190" s="170"/>
      <c r="B2190" s="170"/>
    </row>
    <row r="2191" spans="1:2" x14ac:dyDescent="0.25">
      <c r="A2191" s="170"/>
      <c r="B2191" s="170"/>
    </row>
    <row r="2192" spans="1:2" x14ac:dyDescent="0.25">
      <c r="A2192" s="170"/>
      <c r="B2192" s="170"/>
    </row>
    <row r="2193" spans="1:2" x14ac:dyDescent="0.25">
      <c r="A2193" s="170"/>
      <c r="B2193" s="170"/>
    </row>
    <row r="2194" spans="1:2" x14ac:dyDescent="0.25">
      <c r="A2194" s="170"/>
      <c r="B2194" s="170"/>
    </row>
    <row r="2195" spans="1:2" x14ac:dyDescent="0.25">
      <c r="A2195" s="170"/>
      <c r="B2195" s="170"/>
    </row>
    <row r="2196" spans="1:2" x14ac:dyDescent="0.25">
      <c r="A2196" s="170"/>
      <c r="B2196" s="170"/>
    </row>
    <row r="2197" spans="1:2" x14ac:dyDescent="0.25">
      <c r="A2197" s="170"/>
      <c r="B2197" s="170"/>
    </row>
    <row r="2198" spans="1:2" x14ac:dyDescent="0.25">
      <c r="A2198" s="170"/>
      <c r="B2198" s="170"/>
    </row>
    <row r="2199" spans="1:2" x14ac:dyDescent="0.25">
      <c r="A2199" s="170"/>
      <c r="B2199" s="170"/>
    </row>
    <row r="2200" spans="1:2" x14ac:dyDescent="0.25">
      <c r="A2200" s="170"/>
      <c r="B2200" s="170"/>
    </row>
    <row r="2201" spans="1:2" x14ac:dyDescent="0.25">
      <c r="A2201" s="170"/>
      <c r="B2201" s="170"/>
    </row>
    <row r="2202" spans="1:2" x14ac:dyDescent="0.25">
      <c r="A2202" s="170"/>
      <c r="B2202" s="170"/>
    </row>
    <row r="2203" spans="1:2" x14ac:dyDescent="0.25">
      <c r="A2203" s="170"/>
      <c r="B2203" s="170"/>
    </row>
    <row r="2204" spans="1:2" x14ac:dyDescent="0.25">
      <c r="A2204" s="170"/>
      <c r="B2204" s="170"/>
    </row>
    <row r="2205" spans="1:2" x14ac:dyDescent="0.25">
      <c r="A2205" s="170"/>
      <c r="B2205" s="170"/>
    </row>
    <row r="2206" spans="1:2" x14ac:dyDescent="0.25">
      <c r="A2206" s="170"/>
      <c r="B2206" s="170"/>
    </row>
    <row r="2207" spans="1:2" x14ac:dyDescent="0.25">
      <c r="A2207" s="170"/>
      <c r="B2207" s="170"/>
    </row>
    <row r="2208" spans="1:2" x14ac:dyDescent="0.25">
      <c r="A2208" s="170"/>
      <c r="B2208" s="170"/>
    </row>
    <row r="2209" spans="1:2" x14ac:dyDescent="0.25">
      <c r="A2209" s="170"/>
      <c r="B2209" s="170"/>
    </row>
    <row r="2210" spans="1:2" x14ac:dyDescent="0.25">
      <c r="A2210" s="170"/>
      <c r="B2210" s="170"/>
    </row>
    <row r="2211" spans="1:2" x14ac:dyDescent="0.25">
      <c r="A2211" s="170"/>
      <c r="B2211" s="170"/>
    </row>
    <row r="2212" spans="1:2" x14ac:dyDescent="0.25">
      <c r="A2212" s="170"/>
      <c r="B2212" s="170"/>
    </row>
    <row r="2213" spans="1:2" x14ac:dyDescent="0.25">
      <c r="A2213" s="170"/>
      <c r="B2213" s="170"/>
    </row>
    <row r="2214" spans="1:2" x14ac:dyDescent="0.25">
      <c r="A2214" s="170"/>
      <c r="B2214" s="170"/>
    </row>
    <row r="2215" spans="1:2" x14ac:dyDescent="0.25">
      <c r="A2215" s="170"/>
      <c r="B2215" s="170"/>
    </row>
    <row r="2216" spans="1:2" x14ac:dyDescent="0.25">
      <c r="A2216" s="170"/>
      <c r="B2216" s="170"/>
    </row>
    <row r="2217" spans="1:2" x14ac:dyDescent="0.25">
      <c r="A2217" s="170"/>
      <c r="B2217" s="170"/>
    </row>
    <row r="2218" spans="1:2" x14ac:dyDescent="0.25">
      <c r="A2218" s="170"/>
      <c r="B2218" s="170"/>
    </row>
    <row r="2219" spans="1:2" x14ac:dyDescent="0.25">
      <c r="A2219" s="170"/>
      <c r="B2219" s="170"/>
    </row>
    <row r="2220" spans="1:2" x14ac:dyDescent="0.25">
      <c r="A2220" s="170"/>
      <c r="B2220" s="170"/>
    </row>
    <row r="2221" spans="1:2" x14ac:dyDescent="0.25">
      <c r="A2221" s="170"/>
      <c r="B2221" s="170"/>
    </row>
    <row r="2222" spans="1:2" x14ac:dyDescent="0.25">
      <c r="A2222" s="170"/>
      <c r="B2222" s="170"/>
    </row>
    <row r="2223" spans="1:2" x14ac:dyDescent="0.25">
      <c r="A2223" s="170"/>
      <c r="B2223" s="170"/>
    </row>
    <row r="2224" spans="1:2" x14ac:dyDescent="0.25">
      <c r="A2224" s="170"/>
      <c r="B2224" s="170"/>
    </row>
    <row r="2225" spans="1:2" x14ac:dyDescent="0.25">
      <c r="A2225" s="170"/>
      <c r="B2225" s="170"/>
    </row>
    <row r="2226" spans="1:2" x14ac:dyDescent="0.25">
      <c r="A2226" s="170"/>
      <c r="B2226" s="170"/>
    </row>
    <row r="2227" spans="1:2" x14ac:dyDescent="0.25">
      <c r="A2227" s="170"/>
      <c r="B2227" s="170"/>
    </row>
    <row r="2228" spans="1:2" x14ac:dyDescent="0.25">
      <c r="A2228" s="170"/>
      <c r="B2228" s="170"/>
    </row>
    <row r="2229" spans="1:2" x14ac:dyDescent="0.25">
      <c r="A2229" s="170"/>
      <c r="B2229" s="170"/>
    </row>
    <row r="2230" spans="1:2" x14ac:dyDescent="0.25">
      <c r="A2230" s="170"/>
      <c r="B2230" s="170"/>
    </row>
    <row r="2231" spans="1:2" x14ac:dyDescent="0.25">
      <c r="A2231" s="170"/>
      <c r="B2231" s="170"/>
    </row>
    <row r="2232" spans="1:2" x14ac:dyDescent="0.25">
      <c r="A2232" s="170"/>
      <c r="B2232" s="170"/>
    </row>
    <row r="2233" spans="1:2" x14ac:dyDescent="0.25">
      <c r="A2233" s="170"/>
      <c r="B2233" s="170"/>
    </row>
    <row r="2234" spans="1:2" x14ac:dyDescent="0.25">
      <c r="A2234" s="170"/>
      <c r="B2234" s="170"/>
    </row>
    <row r="2235" spans="1:2" x14ac:dyDescent="0.25">
      <c r="A2235" s="170"/>
      <c r="B2235" s="170"/>
    </row>
    <row r="2236" spans="1:2" x14ac:dyDescent="0.25">
      <c r="A2236" s="170"/>
      <c r="B2236" s="170"/>
    </row>
    <row r="2237" spans="1:2" x14ac:dyDescent="0.25">
      <c r="A2237" s="170"/>
      <c r="B2237" s="170"/>
    </row>
    <row r="2238" spans="1:2" x14ac:dyDescent="0.25">
      <c r="A2238" s="170"/>
      <c r="B2238" s="170"/>
    </row>
    <row r="2239" spans="1:2" x14ac:dyDescent="0.25">
      <c r="A2239" s="170"/>
      <c r="B2239" s="170"/>
    </row>
    <row r="2240" spans="1:2" x14ac:dyDescent="0.25">
      <c r="A2240" s="170"/>
      <c r="B2240" s="170"/>
    </row>
    <row r="2241" spans="1:2" x14ac:dyDescent="0.25">
      <c r="A2241" s="170"/>
      <c r="B2241" s="170"/>
    </row>
    <row r="2242" spans="1:2" x14ac:dyDescent="0.25">
      <c r="A2242" s="170"/>
      <c r="B2242" s="170"/>
    </row>
    <row r="2243" spans="1:2" x14ac:dyDescent="0.25">
      <c r="A2243" s="170"/>
      <c r="B2243" s="170"/>
    </row>
    <row r="2244" spans="1:2" x14ac:dyDescent="0.25">
      <c r="A2244" s="170"/>
      <c r="B2244" s="170"/>
    </row>
    <row r="2245" spans="1:2" x14ac:dyDescent="0.25">
      <c r="A2245" s="170"/>
      <c r="B2245" s="170"/>
    </row>
    <row r="2246" spans="1:2" x14ac:dyDescent="0.25">
      <c r="A2246" s="170"/>
      <c r="B2246" s="170"/>
    </row>
    <row r="2247" spans="1:2" x14ac:dyDescent="0.25">
      <c r="A2247" s="170"/>
      <c r="B2247" s="170"/>
    </row>
    <row r="2248" spans="1:2" x14ac:dyDescent="0.25">
      <c r="A2248" s="170"/>
      <c r="B2248" s="170"/>
    </row>
    <row r="2249" spans="1:2" x14ac:dyDescent="0.25">
      <c r="A2249" s="170"/>
      <c r="B2249" s="170"/>
    </row>
    <row r="2250" spans="1:2" x14ac:dyDescent="0.25">
      <c r="A2250" s="170"/>
      <c r="B2250" s="170"/>
    </row>
    <row r="2251" spans="1:2" x14ac:dyDescent="0.25">
      <c r="A2251" s="170"/>
      <c r="B2251" s="170"/>
    </row>
    <row r="2252" spans="1:2" x14ac:dyDescent="0.25">
      <c r="A2252" s="170"/>
      <c r="B2252" s="170"/>
    </row>
    <row r="2253" spans="1:2" x14ac:dyDescent="0.25">
      <c r="A2253" s="170"/>
      <c r="B2253" s="170"/>
    </row>
    <row r="2254" spans="1:2" x14ac:dyDescent="0.25">
      <c r="A2254" s="170"/>
      <c r="B2254" s="170"/>
    </row>
    <row r="2255" spans="1:2" x14ac:dyDescent="0.25">
      <c r="A2255" s="170"/>
      <c r="B2255" s="170"/>
    </row>
    <row r="2256" spans="1:2" x14ac:dyDescent="0.25">
      <c r="A2256" s="170"/>
      <c r="B2256" s="170"/>
    </row>
    <row r="2257" spans="1:2" x14ac:dyDescent="0.25">
      <c r="A2257" s="170"/>
      <c r="B2257" s="170"/>
    </row>
    <row r="2258" spans="1:2" x14ac:dyDescent="0.25">
      <c r="A2258" s="170"/>
      <c r="B2258" s="170"/>
    </row>
    <row r="2259" spans="1:2" x14ac:dyDescent="0.25">
      <c r="A2259" s="170"/>
      <c r="B2259" s="170"/>
    </row>
    <row r="2260" spans="1:2" x14ac:dyDescent="0.25">
      <c r="A2260" s="170"/>
      <c r="B2260" s="170"/>
    </row>
    <row r="2261" spans="1:2" x14ac:dyDescent="0.25">
      <c r="A2261" s="170"/>
      <c r="B2261" s="170"/>
    </row>
    <row r="2262" spans="1:2" x14ac:dyDescent="0.25">
      <c r="A2262" s="170"/>
      <c r="B2262" s="170"/>
    </row>
    <row r="2263" spans="1:2" x14ac:dyDescent="0.25">
      <c r="A2263" s="170"/>
      <c r="B2263" s="170"/>
    </row>
    <row r="2264" spans="1:2" x14ac:dyDescent="0.25">
      <c r="A2264" s="170"/>
      <c r="B2264" s="170"/>
    </row>
    <row r="2265" spans="1:2" x14ac:dyDescent="0.25">
      <c r="A2265" s="170"/>
      <c r="B2265" s="170"/>
    </row>
    <row r="2266" spans="1:2" x14ac:dyDescent="0.25">
      <c r="A2266" s="170"/>
      <c r="B2266" s="170"/>
    </row>
    <row r="2267" spans="1:2" x14ac:dyDescent="0.25">
      <c r="A2267" s="170"/>
      <c r="B2267" s="170"/>
    </row>
    <row r="2268" spans="1:2" x14ac:dyDescent="0.25">
      <c r="A2268" s="170"/>
      <c r="B2268" s="170"/>
    </row>
    <row r="2269" spans="1:2" x14ac:dyDescent="0.25">
      <c r="A2269" s="170"/>
      <c r="B2269" s="170"/>
    </row>
    <row r="2270" spans="1:2" x14ac:dyDescent="0.25">
      <c r="A2270" s="170"/>
      <c r="B2270" s="170"/>
    </row>
    <row r="2271" spans="1:2" x14ac:dyDescent="0.25">
      <c r="A2271" s="170"/>
      <c r="B2271" s="170"/>
    </row>
    <row r="2272" spans="1:2" x14ac:dyDescent="0.25">
      <c r="A2272" s="170"/>
      <c r="B2272" s="170"/>
    </row>
    <row r="2273" spans="1:2" x14ac:dyDescent="0.25">
      <c r="A2273" s="170"/>
      <c r="B2273" s="170"/>
    </row>
    <row r="2274" spans="1:2" x14ac:dyDescent="0.25">
      <c r="A2274" s="170"/>
      <c r="B2274" s="170"/>
    </row>
    <row r="2275" spans="1:2" x14ac:dyDescent="0.25">
      <c r="A2275" s="170"/>
      <c r="B2275" s="170"/>
    </row>
    <row r="2276" spans="1:2" x14ac:dyDescent="0.25">
      <c r="A2276" s="170"/>
      <c r="B2276" s="170"/>
    </row>
    <row r="2277" spans="1:2" x14ac:dyDescent="0.25">
      <c r="A2277" s="170"/>
      <c r="B2277" s="170"/>
    </row>
    <row r="2278" spans="1:2" x14ac:dyDescent="0.25">
      <c r="A2278" s="170"/>
      <c r="B2278" s="170"/>
    </row>
    <row r="2279" spans="1:2" x14ac:dyDescent="0.25">
      <c r="A2279" s="170"/>
      <c r="B2279" s="170"/>
    </row>
    <row r="2280" spans="1:2" x14ac:dyDescent="0.25">
      <c r="A2280" s="170"/>
      <c r="B2280" s="170"/>
    </row>
    <row r="2281" spans="1:2" x14ac:dyDescent="0.25">
      <c r="A2281" s="170"/>
      <c r="B2281" s="170"/>
    </row>
    <row r="2282" spans="1:2" x14ac:dyDescent="0.25">
      <c r="A2282" s="170"/>
      <c r="B2282" s="170"/>
    </row>
    <row r="2283" spans="1:2" x14ac:dyDescent="0.25">
      <c r="A2283" s="170"/>
      <c r="B2283" s="170"/>
    </row>
    <row r="2284" spans="1:2" x14ac:dyDescent="0.25">
      <c r="A2284" s="170"/>
      <c r="B2284" s="170"/>
    </row>
    <row r="2285" spans="1:2" x14ac:dyDescent="0.25">
      <c r="A2285" s="170"/>
      <c r="B2285" s="170"/>
    </row>
    <row r="2286" spans="1:2" x14ac:dyDescent="0.25">
      <c r="A2286" s="170"/>
      <c r="B2286" s="170"/>
    </row>
    <row r="2287" spans="1:2" x14ac:dyDescent="0.25">
      <c r="A2287" s="170"/>
      <c r="B2287" s="170"/>
    </row>
    <row r="2288" spans="1:2" x14ac:dyDescent="0.25">
      <c r="A2288" s="170"/>
      <c r="B2288" s="170"/>
    </row>
    <row r="2289" spans="1:2" x14ac:dyDescent="0.25">
      <c r="A2289" s="170"/>
      <c r="B2289" s="170"/>
    </row>
    <row r="2290" spans="1:2" x14ac:dyDescent="0.25">
      <c r="A2290" s="170"/>
      <c r="B2290" s="170"/>
    </row>
    <row r="2291" spans="1:2" x14ac:dyDescent="0.25">
      <c r="A2291" s="170"/>
      <c r="B2291" s="170"/>
    </row>
    <row r="2292" spans="1:2" x14ac:dyDescent="0.25">
      <c r="A2292" s="170"/>
      <c r="B2292" s="170"/>
    </row>
    <row r="2293" spans="1:2" x14ac:dyDescent="0.25">
      <c r="A2293" s="170"/>
      <c r="B2293" s="170"/>
    </row>
    <row r="2294" spans="1:2" x14ac:dyDescent="0.25">
      <c r="A2294" s="170"/>
      <c r="B2294" s="170"/>
    </row>
    <row r="2295" spans="1:2" x14ac:dyDescent="0.25">
      <c r="A2295" s="170"/>
      <c r="B2295" s="170"/>
    </row>
    <row r="2296" spans="1:2" x14ac:dyDescent="0.25">
      <c r="A2296" s="170"/>
      <c r="B2296" s="170"/>
    </row>
    <row r="2297" spans="1:2" x14ac:dyDescent="0.25">
      <c r="A2297" s="170"/>
      <c r="B2297" s="170"/>
    </row>
    <row r="2298" spans="1:2" x14ac:dyDescent="0.25">
      <c r="A2298" s="170"/>
      <c r="B2298" s="170"/>
    </row>
    <row r="2299" spans="1:2" x14ac:dyDescent="0.25">
      <c r="A2299" s="170"/>
      <c r="B2299" s="170"/>
    </row>
    <row r="2300" spans="1:2" x14ac:dyDescent="0.25">
      <c r="A2300" s="170"/>
      <c r="B2300" s="170"/>
    </row>
    <row r="2301" spans="1:2" x14ac:dyDescent="0.25">
      <c r="A2301" s="170"/>
      <c r="B2301" s="170"/>
    </row>
    <row r="2302" spans="1:2" x14ac:dyDescent="0.25">
      <c r="A2302" s="170"/>
      <c r="B2302" s="170"/>
    </row>
    <row r="2303" spans="1:2" x14ac:dyDescent="0.25">
      <c r="A2303" s="170"/>
      <c r="B2303" s="170"/>
    </row>
    <row r="2304" spans="1:2" x14ac:dyDescent="0.25">
      <c r="A2304" s="170"/>
      <c r="B2304" s="170"/>
    </row>
    <row r="2305" spans="1:2" x14ac:dyDescent="0.25">
      <c r="A2305" s="170"/>
      <c r="B2305" s="170"/>
    </row>
    <row r="2306" spans="1:2" x14ac:dyDescent="0.25">
      <c r="A2306" s="170"/>
      <c r="B2306" s="170"/>
    </row>
    <row r="2307" spans="1:2" x14ac:dyDescent="0.25">
      <c r="A2307" s="170"/>
      <c r="B2307" s="170"/>
    </row>
    <row r="2308" spans="1:2" x14ac:dyDescent="0.25">
      <c r="A2308" s="170"/>
      <c r="B2308" s="170"/>
    </row>
    <row r="2309" spans="1:2" x14ac:dyDescent="0.25">
      <c r="A2309" s="170"/>
      <c r="B2309" s="170"/>
    </row>
    <row r="2310" spans="1:2" x14ac:dyDescent="0.25">
      <c r="A2310" s="170"/>
      <c r="B2310" s="170"/>
    </row>
    <row r="2311" spans="1:2" x14ac:dyDescent="0.25">
      <c r="A2311" s="170"/>
      <c r="B2311" s="170"/>
    </row>
    <row r="2312" spans="1:2" x14ac:dyDescent="0.25">
      <c r="A2312" s="170"/>
      <c r="B2312" s="170"/>
    </row>
    <row r="2313" spans="1:2" x14ac:dyDescent="0.25">
      <c r="A2313" s="170"/>
      <c r="B2313" s="170"/>
    </row>
    <row r="2314" spans="1:2" x14ac:dyDescent="0.25">
      <c r="A2314" s="170"/>
      <c r="B2314" s="170"/>
    </row>
    <row r="2315" spans="1:2" x14ac:dyDescent="0.25">
      <c r="A2315" s="170"/>
      <c r="B2315" s="170"/>
    </row>
    <row r="2316" spans="1:2" x14ac:dyDescent="0.25">
      <c r="A2316" s="170"/>
      <c r="B2316" s="170"/>
    </row>
    <row r="2317" spans="1:2" x14ac:dyDescent="0.25">
      <c r="A2317" s="170"/>
      <c r="B2317" s="170"/>
    </row>
    <row r="2318" spans="1:2" x14ac:dyDescent="0.25">
      <c r="A2318" s="170"/>
      <c r="B2318" s="170"/>
    </row>
    <row r="2319" spans="1:2" x14ac:dyDescent="0.25">
      <c r="A2319" s="170"/>
      <c r="B2319" s="170"/>
    </row>
    <row r="2320" spans="1:2" x14ac:dyDescent="0.25">
      <c r="A2320" s="170"/>
      <c r="B2320" s="170"/>
    </row>
    <row r="2321" spans="1:2" x14ac:dyDescent="0.25">
      <c r="A2321" s="170"/>
      <c r="B2321" s="170"/>
    </row>
    <row r="2322" spans="1:2" x14ac:dyDescent="0.25">
      <c r="A2322" s="170"/>
      <c r="B2322" s="170"/>
    </row>
    <row r="2323" spans="1:2" x14ac:dyDescent="0.25">
      <c r="A2323" s="170"/>
      <c r="B2323" s="170"/>
    </row>
    <row r="2324" spans="1:2" x14ac:dyDescent="0.25">
      <c r="A2324" s="170"/>
      <c r="B2324" s="170"/>
    </row>
    <row r="2325" spans="1:2" x14ac:dyDescent="0.25">
      <c r="A2325" s="170"/>
      <c r="B2325" s="170"/>
    </row>
    <row r="2326" spans="1:2" x14ac:dyDescent="0.25">
      <c r="A2326" s="170"/>
      <c r="B2326" s="170"/>
    </row>
    <row r="2327" spans="1:2" x14ac:dyDescent="0.25">
      <c r="A2327" s="170"/>
      <c r="B2327" s="170"/>
    </row>
    <row r="2328" spans="1:2" x14ac:dyDescent="0.25">
      <c r="A2328" s="170"/>
      <c r="B2328" s="170"/>
    </row>
    <row r="2329" spans="1:2" x14ac:dyDescent="0.25">
      <c r="A2329" s="170"/>
      <c r="B2329" s="170"/>
    </row>
    <row r="2330" spans="1:2" x14ac:dyDescent="0.25">
      <c r="A2330" s="170"/>
      <c r="B2330" s="170"/>
    </row>
    <row r="2331" spans="1:2" x14ac:dyDescent="0.25">
      <c r="A2331" s="170"/>
      <c r="B2331" s="170"/>
    </row>
    <row r="2332" spans="1:2" x14ac:dyDescent="0.25">
      <c r="A2332" s="170"/>
      <c r="B2332" s="170"/>
    </row>
    <row r="2333" spans="1:2" x14ac:dyDescent="0.25">
      <c r="A2333" s="170"/>
      <c r="B2333" s="170"/>
    </row>
    <row r="2334" spans="1:2" x14ac:dyDescent="0.25">
      <c r="A2334" s="170"/>
      <c r="B2334" s="170"/>
    </row>
    <row r="2335" spans="1:2" x14ac:dyDescent="0.25">
      <c r="A2335" s="170"/>
      <c r="B2335" s="170"/>
    </row>
    <row r="2336" spans="1:2" x14ac:dyDescent="0.25">
      <c r="A2336" s="170"/>
      <c r="B2336" s="170"/>
    </row>
    <row r="2337" spans="1:2" x14ac:dyDescent="0.25">
      <c r="A2337" s="170"/>
      <c r="B2337" s="170"/>
    </row>
    <row r="2338" spans="1:2" x14ac:dyDescent="0.25">
      <c r="A2338" s="170"/>
      <c r="B2338" s="170"/>
    </row>
    <row r="2339" spans="1:2" x14ac:dyDescent="0.25">
      <c r="A2339" s="170"/>
      <c r="B2339" s="170"/>
    </row>
    <row r="2340" spans="1:2" x14ac:dyDescent="0.25">
      <c r="A2340" s="170"/>
      <c r="B2340" s="170"/>
    </row>
    <row r="2341" spans="1:2" x14ac:dyDescent="0.25">
      <c r="A2341" s="170"/>
      <c r="B2341" s="170"/>
    </row>
    <row r="2342" spans="1:2" x14ac:dyDescent="0.25">
      <c r="A2342" s="170"/>
      <c r="B2342" s="170"/>
    </row>
    <row r="2343" spans="1:2" x14ac:dyDescent="0.25">
      <c r="A2343" s="170"/>
      <c r="B2343" s="170"/>
    </row>
    <row r="2344" spans="1:2" x14ac:dyDescent="0.25">
      <c r="A2344" s="170"/>
      <c r="B2344" s="170"/>
    </row>
    <row r="2345" spans="1:2" x14ac:dyDescent="0.25">
      <c r="A2345" s="170"/>
      <c r="B2345" s="170"/>
    </row>
    <row r="2346" spans="1:2" x14ac:dyDescent="0.25">
      <c r="A2346" s="170"/>
      <c r="B2346" s="170"/>
    </row>
    <row r="2347" spans="1:2" x14ac:dyDescent="0.25">
      <c r="A2347" s="170"/>
      <c r="B2347" s="170"/>
    </row>
    <row r="2348" spans="1:2" x14ac:dyDescent="0.25">
      <c r="A2348" s="170"/>
      <c r="B2348" s="170"/>
    </row>
    <row r="2349" spans="1:2" x14ac:dyDescent="0.25">
      <c r="A2349" s="170"/>
      <c r="B2349" s="170"/>
    </row>
    <row r="2350" spans="1:2" x14ac:dyDescent="0.25">
      <c r="A2350" s="170"/>
      <c r="B2350" s="170"/>
    </row>
    <row r="2351" spans="1:2" x14ac:dyDescent="0.25">
      <c r="A2351" s="170"/>
      <c r="B2351" s="170"/>
    </row>
    <row r="2352" spans="1:2" x14ac:dyDescent="0.25">
      <c r="A2352" s="170"/>
      <c r="B2352" s="170"/>
    </row>
    <row r="2353" spans="1:2" x14ac:dyDescent="0.25">
      <c r="A2353" s="170"/>
      <c r="B2353" s="170"/>
    </row>
    <row r="2354" spans="1:2" x14ac:dyDescent="0.25">
      <c r="A2354" s="170"/>
      <c r="B2354" s="170"/>
    </row>
    <row r="2355" spans="1:2" x14ac:dyDescent="0.25">
      <c r="A2355" s="170"/>
      <c r="B2355" s="170"/>
    </row>
    <row r="2356" spans="1:2" x14ac:dyDescent="0.25">
      <c r="A2356" s="170"/>
      <c r="B2356" s="170"/>
    </row>
    <row r="2357" spans="1:2" x14ac:dyDescent="0.25">
      <c r="A2357" s="170"/>
      <c r="B2357" s="170"/>
    </row>
    <row r="2358" spans="1:2" x14ac:dyDescent="0.25">
      <c r="A2358" s="170"/>
      <c r="B2358" s="170"/>
    </row>
    <row r="2359" spans="1:2" x14ac:dyDescent="0.25">
      <c r="A2359" s="170"/>
      <c r="B2359" s="170"/>
    </row>
    <row r="2360" spans="1:2" x14ac:dyDescent="0.25">
      <c r="A2360" s="170"/>
      <c r="B2360" s="170"/>
    </row>
    <row r="2361" spans="1:2" x14ac:dyDescent="0.25">
      <c r="A2361" s="170"/>
      <c r="B2361" s="170"/>
    </row>
    <row r="2362" spans="1:2" x14ac:dyDescent="0.25">
      <c r="A2362" s="170"/>
      <c r="B2362" s="170"/>
    </row>
    <row r="2363" spans="1:2" x14ac:dyDescent="0.25">
      <c r="A2363" s="170"/>
      <c r="B2363" s="170"/>
    </row>
    <row r="2364" spans="1:2" x14ac:dyDescent="0.25">
      <c r="A2364" s="170"/>
      <c r="B2364" s="170"/>
    </row>
    <row r="2365" spans="1:2" x14ac:dyDescent="0.25">
      <c r="A2365" s="170"/>
      <c r="B2365" s="170"/>
    </row>
    <row r="2366" spans="1:2" x14ac:dyDescent="0.25">
      <c r="A2366" s="170"/>
      <c r="B2366" s="170"/>
    </row>
    <row r="2367" spans="1:2" x14ac:dyDescent="0.25">
      <c r="A2367" s="170"/>
      <c r="B2367" s="170"/>
    </row>
    <row r="2368" spans="1:2" x14ac:dyDescent="0.25">
      <c r="A2368" s="170"/>
      <c r="B2368" s="170"/>
    </row>
    <row r="2369" spans="1:2" x14ac:dyDescent="0.25">
      <c r="A2369" s="170"/>
      <c r="B2369" s="170"/>
    </row>
    <row r="2370" spans="1:2" x14ac:dyDescent="0.25">
      <c r="A2370" s="170"/>
      <c r="B2370" s="170"/>
    </row>
    <row r="2371" spans="1:2" x14ac:dyDescent="0.25">
      <c r="A2371" s="170"/>
      <c r="B2371" s="170"/>
    </row>
    <row r="2372" spans="1:2" x14ac:dyDescent="0.25">
      <c r="A2372" s="170"/>
      <c r="B2372" s="170"/>
    </row>
    <row r="2373" spans="1:2" x14ac:dyDescent="0.25">
      <c r="A2373" s="170"/>
      <c r="B2373" s="170"/>
    </row>
    <row r="2374" spans="1:2" x14ac:dyDescent="0.25">
      <c r="A2374" s="170"/>
      <c r="B2374" s="170"/>
    </row>
    <row r="2375" spans="1:2" x14ac:dyDescent="0.25">
      <c r="A2375" s="170"/>
      <c r="B2375" s="170"/>
    </row>
    <row r="2376" spans="1:2" x14ac:dyDescent="0.25">
      <c r="A2376" s="170"/>
      <c r="B2376" s="170"/>
    </row>
    <row r="2377" spans="1:2" x14ac:dyDescent="0.25">
      <c r="A2377" s="170"/>
      <c r="B2377" s="170"/>
    </row>
    <row r="2378" spans="1:2" x14ac:dyDescent="0.25">
      <c r="A2378" s="170"/>
      <c r="B2378" s="170"/>
    </row>
    <row r="2379" spans="1:2" x14ac:dyDescent="0.25">
      <c r="A2379" s="170"/>
      <c r="B2379" s="170"/>
    </row>
    <row r="2380" spans="1:2" x14ac:dyDescent="0.25">
      <c r="A2380" s="170"/>
      <c r="B2380" s="170"/>
    </row>
    <row r="2381" spans="1:2" x14ac:dyDescent="0.25">
      <c r="A2381" s="170"/>
      <c r="B2381" s="170"/>
    </row>
    <row r="2382" spans="1:2" x14ac:dyDescent="0.25">
      <c r="A2382" s="170"/>
      <c r="B2382" s="170"/>
    </row>
    <row r="2383" spans="1:2" x14ac:dyDescent="0.25">
      <c r="A2383" s="170"/>
      <c r="B2383" s="170"/>
    </row>
    <row r="2384" spans="1:2" x14ac:dyDescent="0.25">
      <c r="A2384" s="170"/>
      <c r="B2384" s="170"/>
    </row>
    <row r="2385" spans="1:2" x14ac:dyDescent="0.25">
      <c r="A2385" s="170"/>
      <c r="B2385" s="170"/>
    </row>
    <row r="2386" spans="1:2" x14ac:dyDescent="0.25">
      <c r="A2386" s="170"/>
      <c r="B2386" s="170"/>
    </row>
    <row r="2387" spans="1:2" x14ac:dyDescent="0.25">
      <c r="A2387" s="170"/>
      <c r="B2387" s="170"/>
    </row>
    <row r="2388" spans="1:2" x14ac:dyDescent="0.25">
      <c r="A2388" s="170"/>
      <c r="B2388" s="170"/>
    </row>
    <row r="2389" spans="1:2" x14ac:dyDescent="0.25">
      <c r="A2389" s="170"/>
      <c r="B2389" s="170"/>
    </row>
    <row r="2390" spans="1:2" x14ac:dyDescent="0.25">
      <c r="A2390" s="170"/>
      <c r="B2390" s="170"/>
    </row>
    <row r="2391" spans="1:2" x14ac:dyDescent="0.25">
      <c r="A2391" s="170"/>
      <c r="B2391" s="170"/>
    </row>
    <row r="2392" spans="1:2" x14ac:dyDescent="0.25">
      <c r="A2392" s="170"/>
      <c r="B2392" s="170"/>
    </row>
    <row r="2393" spans="1:2" x14ac:dyDescent="0.25">
      <c r="A2393" s="170"/>
      <c r="B2393" s="170"/>
    </row>
    <row r="2394" spans="1:2" x14ac:dyDescent="0.25">
      <c r="A2394" s="170"/>
      <c r="B2394" s="170"/>
    </row>
    <row r="2395" spans="1:2" x14ac:dyDescent="0.25">
      <c r="A2395" s="170"/>
      <c r="B2395" s="170"/>
    </row>
    <row r="2396" spans="1:2" x14ac:dyDescent="0.25">
      <c r="A2396" s="170"/>
      <c r="B2396" s="170"/>
    </row>
    <row r="2397" spans="1:2" x14ac:dyDescent="0.25">
      <c r="A2397" s="170"/>
      <c r="B2397" s="170"/>
    </row>
    <row r="2398" spans="1:2" x14ac:dyDescent="0.25">
      <c r="A2398" s="170"/>
      <c r="B2398" s="170"/>
    </row>
    <row r="2399" spans="1:2" x14ac:dyDescent="0.25">
      <c r="A2399" s="170"/>
      <c r="B2399" s="170"/>
    </row>
    <row r="2400" spans="1:2" x14ac:dyDescent="0.25">
      <c r="A2400" s="170"/>
      <c r="B2400" s="170"/>
    </row>
    <row r="2401" spans="1:2" x14ac:dyDescent="0.25">
      <c r="A2401" s="170"/>
      <c r="B2401" s="170"/>
    </row>
    <row r="2402" spans="1:2" x14ac:dyDescent="0.25">
      <c r="A2402" s="170"/>
      <c r="B2402" s="170"/>
    </row>
    <row r="2403" spans="1:2" x14ac:dyDescent="0.25">
      <c r="A2403" s="170"/>
      <c r="B2403" s="170"/>
    </row>
    <row r="2404" spans="1:2" x14ac:dyDescent="0.25">
      <c r="A2404" s="170"/>
      <c r="B2404" s="170"/>
    </row>
    <row r="2405" spans="1:2" x14ac:dyDescent="0.25">
      <c r="A2405" s="170"/>
      <c r="B2405" s="170"/>
    </row>
    <row r="2406" spans="1:2" x14ac:dyDescent="0.25">
      <c r="A2406" s="170"/>
      <c r="B2406" s="170"/>
    </row>
    <row r="2407" spans="1:2" x14ac:dyDescent="0.25">
      <c r="A2407" s="170"/>
      <c r="B2407" s="170"/>
    </row>
    <row r="2408" spans="1:2" x14ac:dyDescent="0.25">
      <c r="A2408" s="170"/>
      <c r="B2408" s="170"/>
    </row>
    <row r="2409" spans="1:2" x14ac:dyDescent="0.25">
      <c r="A2409" s="170"/>
      <c r="B2409" s="170"/>
    </row>
    <row r="2410" spans="1:2" x14ac:dyDescent="0.25">
      <c r="A2410" s="170"/>
      <c r="B2410" s="170"/>
    </row>
    <row r="2411" spans="1:2" x14ac:dyDescent="0.25">
      <c r="A2411" s="170"/>
      <c r="B2411" s="170"/>
    </row>
    <row r="2412" spans="1:2" x14ac:dyDescent="0.25">
      <c r="A2412" s="170"/>
      <c r="B2412" s="170"/>
    </row>
    <row r="2413" spans="1:2" x14ac:dyDescent="0.25">
      <c r="A2413" s="170"/>
      <c r="B2413" s="170"/>
    </row>
    <row r="2414" spans="1:2" x14ac:dyDescent="0.25">
      <c r="A2414" s="170"/>
      <c r="B2414" s="170"/>
    </row>
    <row r="2415" spans="1:2" x14ac:dyDescent="0.25">
      <c r="A2415" s="170"/>
      <c r="B2415" s="170"/>
    </row>
    <row r="2416" spans="1:2" x14ac:dyDescent="0.25">
      <c r="A2416" s="170"/>
      <c r="B2416" s="170"/>
    </row>
    <row r="2417" spans="1:2" x14ac:dyDescent="0.25">
      <c r="A2417" s="170"/>
      <c r="B2417" s="170"/>
    </row>
    <row r="2418" spans="1:2" x14ac:dyDescent="0.25">
      <c r="A2418" s="170"/>
      <c r="B2418" s="170"/>
    </row>
    <row r="2419" spans="1:2" x14ac:dyDescent="0.25">
      <c r="A2419" s="170"/>
      <c r="B2419" s="170"/>
    </row>
    <row r="2420" spans="1:2" x14ac:dyDescent="0.25">
      <c r="A2420" s="170"/>
      <c r="B2420" s="170"/>
    </row>
    <row r="2421" spans="1:2" x14ac:dyDescent="0.25">
      <c r="A2421" s="170"/>
      <c r="B2421" s="170"/>
    </row>
    <row r="2422" spans="1:2" x14ac:dyDescent="0.25">
      <c r="A2422" s="170"/>
      <c r="B2422" s="170"/>
    </row>
    <row r="2423" spans="1:2" x14ac:dyDescent="0.25">
      <c r="A2423" s="170"/>
      <c r="B2423" s="170"/>
    </row>
    <row r="2424" spans="1:2" x14ac:dyDescent="0.25">
      <c r="A2424" s="170"/>
      <c r="B2424" s="170"/>
    </row>
    <row r="2425" spans="1:2" x14ac:dyDescent="0.25">
      <c r="A2425" s="170"/>
      <c r="B2425" s="170"/>
    </row>
    <row r="2426" spans="1:2" x14ac:dyDescent="0.25">
      <c r="A2426" s="170"/>
      <c r="B2426" s="170"/>
    </row>
    <row r="2427" spans="1:2" x14ac:dyDescent="0.25">
      <c r="A2427" s="170"/>
      <c r="B2427" s="170"/>
    </row>
    <row r="2428" spans="1:2" x14ac:dyDescent="0.25">
      <c r="A2428" s="170"/>
      <c r="B2428" s="170"/>
    </row>
    <row r="2429" spans="1:2" x14ac:dyDescent="0.25">
      <c r="A2429" s="170"/>
      <c r="B2429" s="170"/>
    </row>
    <row r="2430" spans="1:2" x14ac:dyDescent="0.25">
      <c r="A2430" s="170"/>
      <c r="B2430" s="170"/>
    </row>
    <row r="2431" spans="1:2" x14ac:dyDescent="0.25">
      <c r="A2431" s="170"/>
      <c r="B2431" s="170"/>
    </row>
    <row r="2432" spans="1:2" x14ac:dyDescent="0.25">
      <c r="A2432" s="170"/>
      <c r="B2432" s="170"/>
    </row>
    <row r="2433" spans="1:2" x14ac:dyDescent="0.25">
      <c r="A2433" s="170"/>
      <c r="B2433" s="170"/>
    </row>
    <row r="2434" spans="1:2" x14ac:dyDescent="0.25">
      <c r="A2434" s="170"/>
      <c r="B2434" s="170"/>
    </row>
    <row r="2435" spans="1:2" x14ac:dyDescent="0.25">
      <c r="A2435" s="170"/>
      <c r="B2435" s="170"/>
    </row>
    <row r="2436" spans="1:2" x14ac:dyDescent="0.25">
      <c r="A2436" s="170"/>
      <c r="B2436" s="170"/>
    </row>
    <row r="2437" spans="1:2" x14ac:dyDescent="0.25">
      <c r="A2437" s="170"/>
      <c r="B2437" s="170"/>
    </row>
    <row r="2438" spans="1:2" x14ac:dyDescent="0.25">
      <c r="A2438" s="170"/>
      <c r="B2438" s="170"/>
    </row>
    <row r="2439" spans="1:2" x14ac:dyDescent="0.25">
      <c r="A2439" s="170"/>
      <c r="B2439" s="170"/>
    </row>
    <row r="2440" spans="1:2" x14ac:dyDescent="0.25">
      <c r="A2440" s="170"/>
      <c r="B2440" s="170"/>
    </row>
    <row r="2441" spans="1:2" x14ac:dyDescent="0.25">
      <c r="A2441" s="170"/>
      <c r="B2441" s="170"/>
    </row>
    <row r="2442" spans="1:2" x14ac:dyDescent="0.25">
      <c r="A2442" s="170"/>
      <c r="B2442" s="170"/>
    </row>
    <row r="2443" spans="1:2" x14ac:dyDescent="0.25">
      <c r="A2443" s="170"/>
      <c r="B2443" s="170"/>
    </row>
    <row r="2444" spans="1:2" x14ac:dyDescent="0.25">
      <c r="A2444" s="170"/>
      <c r="B2444" s="170"/>
    </row>
    <row r="2445" spans="1:2" x14ac:dyDescent="0.25">
      <c r="A2445" s="170"/>
      <c r="B2445" s="170"/>
    </row>
    <row r="2446" spans="1:2" x14ac:dyDescent="0.25">
      <c r="A2446" s="170"/>
      <c r="B2446" s="170"/>
    </row>
    <row r="2447" spans="1:2" x14ac:dyDescent="0.25">
      <c r="A2447" s="170"/>
      <c r="B2447" s="170"/>
    </row>
    <row r="2448" spans="1:2" x14ac:dyDescent="0.25">
      <c r="A2448" s="170"/>
      <c r="B2448" s="170"/>
    </row>
    <row r="2449" spans="1:2" x14ac:dyDescent="0.25">
      <c r="A2449" s="170"/>
      <c r="B2449" s="170"/>
    </row>
    <row r="2450" spans="1:2" x14ac:dyDescent="0.25">
      <c r="A2450" s="170"/>
      <c r="B2450" s="170"/>
    </row>
    <row r="2451" spans="1:2" x14ac:dyDescent="0.25">
      <c r="A2451" s="170"/>
      <c r="B2451" s="170"/>
    </row>
    <row r="2452" spans="1:2" x14ac:dyDescent="0.25">
      <c r="A2452" s="170"/>
      <c r="B2452" s="170"/>
    </row>
    <row r="2453" spans="1:2" x14ac:dyDescent="0.25">
      <c r="A2453" s="170"/>
      <c r="B2453" s="170"/>
    </row>
    <row r="2454" spans="1:2" x14ac:dyDescent="0.25">
      <c r="A2454" s="170"/>
      <c r="B2454" s="170"/>
    </row>
    <row r="2455" spans="1:2" x14ac:dyDescent="0.25">
      <c r="A2455" s="170"/>
      <c r="B2455" s="170"/>
    </row>
    <row r="2456" spans="1:2" x14ac:dyDescent="0.25">
      <c r="A2456" s="170"/>
      <c r="B2456" s="170"/>
    </row>
    <row r="2457" spans="1:2" x14ac:dyDescent="0.25">
      <c r="A2457" s="170"/>
      <c r="B2457" s="170"/>
    </row>
    <row r="2458" spans="1:2" x14ac:dyDescent="0.25">
      <c r="A2458" s="170"/>
      <c r="B2458" s="170"/>
    </row>
    <row r="2459" spans="1:2" x14ac:dyDescent="0.25">
      <c r="A2459" s="170"/>
      <c r="B2459" s="170"/>
    </row>
    <row r="2460" spans="1:2" x14ac:dyDescent="0.25">
      <c r="A2460" s="170"/>
      <c r="B2460" s="170"/>
    </row>
    <row r="2461" spans="1:2" x14ac:dyDescent="0.25">
      <c r="A2461" s="170"/>
      <c r="B2461" s="170"/>
    </row>
    <row r="2462" spans="1:2" x14ac:dyDescent="0.25">
      <c r="A2462" s="170"/>
      <c r="B2462" s="170"/>
    </row>
    <row r="2463" spans="1:2" x14ac:dyDescent="0.25">
      <c r="A2463" s="170"/>
      <c r="B2463" s="170"/>
    </row>
    <row r="2464" spans="1:2" x14ac:dyDescent="0.25">
      <c r="A2464" s="170"/>
      <c r="B2464" s="170"/>
    </row>
    <row r="2465" spans="1:2" x14ac:dyDescent="0.25">
      <c r="A2465" s="170"/>
      <c r="B2465" s="170"/>
    </row>
    <row r="2466" spans="1:2" x14ac:dyDescent="0.25">
      <c r="A2466" s="170"/>
      <c r="B2466" s="170"/>
    </row>
    <row r="2467" spans="1:2" x14ac:dyDescent="0.25">
      <c r="A2467" s="170"/>
      <c r="B2467" s="170"/>
    </row>
    <row r="2468" spans="1:2" x14ac:dyDescent="0.25">
      <c r="A2468" s="170"/>
      <c r="B2468" s="170"/>
    </row>
    <row r="2469" spans="1:2" x14ac:dyDescent="0.25">
      <c r="A2469" s="170"/>
      <c r="B2469" s="170"/>
    </row>
    <row r="2470" spans="1:2" x14ac:dyDescent="0.25">
      <c r="A2470" s="170"/>
      <c r="B2470" s="170"/>
    </row>
    <row r="2471" spans="1:2" x14ac:dyDescent="0.25">
      <c r="A2471" s="170"/>
      <c r="B2471" s="170"/>
    </row>
    <row r="2472" spans="1:2" x14ac:dyDescent="0.25">
      <c r="A2472" s="170"/>
      <c r="B2472" s="170"/>
    </row>
    <row r="2473" spans="1:2" x14ac:dyDescent="0.25">
      <c r="A2473" s="170"/>
      <c r="B2473" s="170"/>
    </row>
    <row r="2474" spans="1:2" x14ac:dyDescent="0.25">
      <c r="A2474" s="170"/>
      <c r="B2474" s="170"/>
    </row>
    <row r="2475" spans="1:2" x14ac:dyDescent="0.25">
      <c r="A2475" s="170"/>
      <c r="B2475" s="170"/>
    </row>
    <row r="2476" spans="1:2" x14ac:dyDescent="0.25">
      <c r="A2476" s="170"/>
      <c r="B2476" s="170"/>
    </row>
    <row r="2477" spans="1:2" x14ac:dyDescent="0.25">
      <c r="A2477" s="170"/>
      <c r="B2477" s="170"/>
    </row>
    <row r="2478" spans="1:2" x14ac:dyDescent="0.25">
      <c r="A2478" s="170"/>
      <c r="B2478" s="170"/>
    </row>
    <row r="2479" spans="1:2" x14ac:dyDescent="0.25">
      <c r="A2479" s="170"/>
      <c r="B2479" s="170"/>
    </row>
    <row r="2480" spans="1:2" x14ac:dyDescent="0.25">
      <c r="A2480" s="170"/>
      <c r="B2480" s="170"/>
    </row>
    <row r="2481" spans="1:2" x14ac:dyDescent="0.25">
      <c r="A2481" s="170"/>
      <c r="B2481" s="170"/>
    </row>
    <row r="2482" spans="1:2" x14ac:dyDescent="0.25">
      <c r="A2482" s="170"/>
      <c r="B2482" s="170"/>
    </row>
    <row r="2483" spans="1:2" x14ac:dyDescent="0.25">
      <c r="A2483" s="170"/>
      <c r="B2483" s="170"/>
    </row>
    <row r="2484" spans="1:2" x14ac:dyDescent="0.25">
      <c r="A2484" s="170"/>
      <c r="B2484" s="170"/>
    </row>
    <row r="2485" spans="1:2" x14ac:dyDescent="0.25">
      <c r="A2485" s="170"/>
      <c r="B2485" s="170"/>
    </row>
    <row r="2486" spans="1:2" x14ac:dyDescent="0.25">
      <c r="A2486" s="170"/>
      <c r="B2486" s="170"/>
    </row>
    <row r="2487" spans="1:2" x14ac:dyDescent="0.25">
      <c r="A2487" s="170"/>
      <c r="B2487" s="170"/>
    </row>
    <row r="2488" spans="1:2" x14ac:dyDescent="0.25">
      <c r="A2488" s="170"/>
      <c r="B2488" s="170"/>
    </row>
    <row r="2489" spans="1:2" x14ac:dyDescent="0.25">
      <c r="A2489" s="170"/>
      <c r="B2489" s="170"/>
    </row>
    <row r="2490" spans="1:2" x14ac:dyDescent="0.25">
      <c r="A2490" s="170"/>
      <c r="B2490" s="170"/>
    </row>
    <row r="2491" spans="1:2" x14ac:dyDescent="0.25">
      <c r="A2491" s="170"/>
      <c r="B2491" s="170"/>
    </row>
    <row r="2492" spans="1:2" x14ac:dyDescent="0.25">
      <c r="A2492" s="170"/>
      <c r="B2492" s="170"/>
    </row>
    <row r="2493" spans="1:2" x14ac:dyDescent="0.25">
      <c r="A2493" s="170"/>
      <c r="B2493" s="170"/>
    </row>
    <row r="2494" spans="1:2" x14ac:dyDescent="0.25">
      <c r="A2494" s="170"/>
      <c r="B2494" s="170"/>
    </row>
    <row r="2495" spans="1:2" x14ac:dyDescent="0.25">
      <c r="A2495" s="170"/>
      <c r="B2495" s="170"/>
    </row>
    <row r="2496" spans="1:2" x14ac:dyDescent="0.25">
      <c r="A2496" s="170"/>
      <c r="B2496" s="170"/>
    </row>
    <row r="2497" spans="1:2" x14ac:dyDescent="0.25">
      <c r="A2497" s="170"/>
      <c r="B2497" s="170"/>
    </row>
    <row r="2498" spans="1:2" x14ac:dyDescent="0.25">
      <c r="A2498" s="170"/>
      <c r="B2498" s="170"/>
    </row>
    <row r="2499" spans="1:2" x14ac:dyDescent="0.25">
      <c r="A2499" s="170"/>
      <c r="B2499" s="170"/>
    </row>
    <row r="2500" spans="1:2" x14ac:dyDescent="0.25">
      <c r="A2500" s="170"/>
      <c r="B2500" s="170"/>
    </row>
    <row r="2501" spans="1:2" x14ac:dyDescent="0.25">
      <c r="A2501" s="170"/>
      <c r="B2501" s="170"/>
    </row>
    <row r="2502" spans="1:2" x14ac:dyDescent="0.25">
      <c r="A2502" s="170"/>
      <c r="B2502" s="170"/>
    </row>
    <row r="2503" spans="1:2" x14ac:dyDescent="0.25">
      <c r="A2503" s="170"/>
      <c r="B2503" s="170"/>
    </row>
    <row r="2504" spans="1:2" x14ac:dyDescent="0.25">
      <c r="A2504" s="170"/>
      <c r="B2504" s="170"/>
    </row>
    <row r="2505" spans="1:2" x14ac:dyDescent="0.25">
      <c r="A2505" s="170"/>
      <c r="B2505" s="170"/>
    </row>
    <row r="2506" spans="1:2" x14ac:dyDescent="0.25">
      <c r="A2506" s="170"/>
      <c r="B2506" s="170"/>
    </row>
    <row r="2507" spans="1:2" x14ac:dyDescent="0.25">
      <c r="A2507" s="170"/>
      <c r="B2507" s="170"/>
    </row>
    <row r="2508" spans="1:2" x14ac:dyDescent="0.25">
      <c r="A2508" s="170"/>
      <c r="B2508" s="170"/>
    </row>
    <row r="2509" spans="1:2" x14ac:dyDescent="0.25">
      <c r="A2509" s="170"/>
      <c r="B2509" s="170"/>
    </row>
    <row r="2510" spans="1:2" x14ac:dyDescent="0.25">
      <c r="A2510" s="170"/>
      <c r="B2510" s="170"/>
    </row>
    <row r="2511" spans="1:2" x14ac:dyDescent="0.25">
      <c r="A2511" s="170"/>
      <c r="B2511" s="170"/>
    </row>
    <row r="2512" spans="1:2" x14ac:dyDescent="0.25">
      <c r="A2512" s="170"/>
      <c r="B2512" s="170"/>
    </row>
    <row r="2513" spans="1:2" x14ac:dyDescent="0.25">
      <c r="A2513" s="170"/>
      <c r="B2513" s="170"/>
    </row>
    <row r="2514" spans="1:2" x14ac:dyDescent="0.25">
      <c r="A2514" s="170"/>
      <c r="B2514" s="170"/>
    </row>
    <row r="2515" spans="1:2" x14ac:dyDescent="0.25">
      <c r="A2515" s="170"/>
      <c r="B2515" s="170"/>
    </row>
    <row r="2516" spans="1:2" x14ac:dyDescent="0.25">
      <c r="A2516" s="170"/>
      <c r="B2516" s="170"/>
    </row>
    <row r="2517" spans="1:2" x14ac:dyDescent="0.25">
      <c r="A2517" s="170"/>
      <c r="B2517" s="170"/>
    </row>
    <row r="2518" spans="1:2" x14ac:dyDescent="0.25">
      <c r="A2518" s="170"/>
      <c r="B2518" s="170"/>
    </row>
    <row r="2519" spans="1:2" x14ac:dyDescent="0.25">
      <c r="A2519" s="170"/>
      <c r="B2519" s="170"/>
    </row>
    <row r="2520" spans="1:2" x14ac:dyDescent="0.25">
      <c r="A2520" s="170"/>
      <c r="B2520" s="170"/>
    </row>
    <row r="2521" spans="1:2" x14ac:dyDescent="0.25">
      <c r="A2521" s="170"/>
      <c r="B2521" s="170"/>
    </row>
    <row r="2522" spans="1:2" x14ac:dyDescent="0.25">
      <c r="A2522" s="170"/>
      <c r="B2522" s="170"/>
    </row>
    <row r="2523" spans="1:2" x14ac:dyDescent="0.25">
      <c r="A2523" s="170"/>
      <c r="B2523" s="170"/>
    </row>
    <row r="2524" spans="1:2" x14ac:dyDescent="0.25">
      <c r="A2524" s="170"/>
      <c r="B2524" s="170"/>
    </row>
    <row r="2525" spans="1:2" x14ac:dyDescent="0.25">
      <c r="A2525" s="170"/>
      <c r="B2525" s="170"/>
    </row>
    <row r="2526" spans="1:2" x14ac:dyDescent="0.25">
      <c r="A2526" s="170"/>
      <c r="B2526" s="170"/>
    </row>
    <row r="2527" spans="1:2" x14ac:dyDescent="0.25">
      <c r="A2527" s="170"/>
      <c r="B2527" s="170"/>
    </row>
    <row r="2528" spans="1:2" x14ac:dyDescent="0.25">
      <c r="A2528" s="170"/>
      <c r="B2528" s="170"/>
    </row>
    <row r="2529" spans="1:2" x14ac:dyDescent="0.25">
      <c r="A2529" s="170"/>
      <c r="B2529" s="170"/>
    </row>
    <row r="2530" spans="1:2" x14ac:dyDescent="0.25">
      <c r="A2530" s="170"/>
      <c r="B2530" s="170"/>
    </row>
    <row r="2531" spans="1:2" x14ac:dyDescent="0.25">
      <c r="A2531" s="170"/>
      <c r="B2531" s="170"/>
    </row>
    <row r="2532" spans="1:2" x14ac:dyDescent="0.25">
      <c r="A2532" s="170"/>
      <c r="B2532" s="170"/>
    </row>
    <row r="2533" spans="1:2" x14ac:dyDescent="0.25">
      <c r="A2533" s="170"/>
      <c r="B2533" s="170"/>
    </row>
    <row r="2534" spans="1:2" x14ac:dyDescent="0.25">
      <c r="A2534" s="170"/>
      <c r="B2534" s="170"/>
    </row>
    <row r="2535" spans="1:2" x14ac:dyDescent="0.25">
      <c r="A2535" s="170"/>
      <c r="B2535" s="170"/>
    </row>
    <row r="2536" spans="1:2" x14ac:dyDescent="0.25">
      <c r="A2536" s="170"/>
      <c r="B2536" s="170"/>
    </row>
    <row r="2537" spans="1:2" x14ac:dyDescent="0.25">
      <c r="A2537" s="170"/>
      <c r="B2537" s="170"/>
    </row>
    <row r="2538" spans="1:2" x14ac:dyDescent="0.25">
      <c r="A2538" s="170"/>
      <c r="B2538" s="170"/>
    </row>
    <row r="2539" spans="1:2" x14ac:dyDescent="0.25">
      <c r="A2539" s="170"/>
      <c r="B2539" s="170"/>
    </row>
    <row r="2540" spans="1:2" x14ac:dyDescent="0.25">
      <c r="A2540" s="170"/>
      <c r="B2540" s="170"/>
    </row>
    <row r="2541" spans="1:2" x14ac:dyDescent="0.25">
      <c r="A2541" s="170"/>
      <c r="B2541" s="170"/>
    </row>
    <row r="2542" spans="1:2" x14ac:dyDescent="0.25">
      <c r="A2542" s="170"/>
      <c r="B2542" s="170"/>
    </row>
    <row r="2543" spans="1:2" x14ac:dyDescent="0.25">
      <c r="A2543" s="170"/>
      <c r="B2543" s="170"/>
    </row>
    <row r="2544" spans="1:2" x14ac:dyDescent="0.25">
      <c r="A2544" s="170"/>
      <c r="B2544" s="170"/>
    </row>
    <row r="2545" spans="1:2" x14ac:dyDescent="0.25">
      <c r="A2545" s="170"/>
      <c r="B2545" s="170"/>
    </row>
    <row r="2546" spans="1:2" x14ac:dyDescent="0.25">
      <c r="A2546" s="170"/>
      <c r="B2546" s="170"/>
    </row>
    <row r="2547" spans="1:2" x14ac:dyDescent="0.25">
      <c r="A2547" s="170"/>
      <c r="B2547" s="170"/>
    </row>
    <row r="2548" spans="1:2" x14ac:dyDescent="0.25">
      <c r="A2548" s="170"/>
      <c r="B2548" s="170"/>
    </row>
    <row r="2549" spans="1:2" x14ac:dyDescent="0.25">
      <c r="A2549" s="170"/>
      <c r="B2549" s="170"/>
    </row>
    <row r="2550" spans="1:2" x14ac:dyDescent="0.25">
      <c r="A2550" s="170"/>
      <c r="B2550" s="170"/>
    </row>
    <row r="2551" spans="1:2" x14ac:dyDescent="0.25">
      <c r="A2551" s="170"/>
      <c r="B2551" s="170"/>
    </row>
    <row r="2552" spans="1:2" x14ac:dyDescent="0.25">
      <c r="A2552" s="170"/>
      <c r="B2552" s="170"/>
    </row>
    <row r="2553" spans="1:2" x14ac:dyDescent="0.25">
      <c r="A2553" s="170"/>
      <c r="B2553" s="170"/>
    </row>
    <row r="2554" spans="1:2" x14ac:dyDescent="0.25">
      <c r="A2554" s="170"/>
      <c r="B2554" s="170"/>
    </row>
    <row r="2555" spans="1:2" x14ac:dyDescent="0.25">
      <c r="A2555" s="170"/>
      <c r="B2555" s="170"/>
    </row>
    <row r="2556" spans="1:2" x14ac:dyDescent="0.25">
      <c r="A2556" s="170"/>
      <c r="B2556" s="170"/>
    </row>
    <row r="2557" spans="1:2" x14ac:dyDescent="0.25">
      <c r="A2557" s="170"/>
      <c r="B2557" s="170"/>
    </row>
    <row r="2558" spans="1:2" x14ac:dyDescent="0.25">
      <c r="A2558" s="170"/>
      <c r="B2558" s="170"/>
    </row>
    <row r="2559" spans="1:2" x14ac:dyDescent="0.25">
      <c r="A2559" s="170"/>
      <c r="B2559" s="170"/>
    </row>
    <row r="2560" spans="1:2" x14ac:dyDescent="0.25">
      <c r="A2560" s="170"/>
      <c r="B2560" s="170"/>
    </row>
    <row r="2561" spans="1:2" x14ac:dyDescent="0.25">
      <c r="A2561" s="170"/>
      <c r="B2561" s="170"/>
    </row>
    <row r="2562" spans="1:2" x14ac:dyDescent="0.25">
      <c r="A2562" s="170"/>
      <c r="B2562" s="170"/>
    </row>
    <row r="2563" spans="1:2" x14ac:dyDescent="0.25">
      <c r="A2563" s="170"/>
      <c r="B2563" s="170"/>
    </row>
    <row r="2564" spans="1:2" x14ac:dyDescent="0.25">
      <c r="A2564" s="170"/>
      <c r="B2564" s="170"/>
    </row>
    <row r="2565" spans="1:2" x14ac:dyDescent="0.25">
      <c r="A2565" s="170"/>
      <c r="B2565" s="170"/>
    </row>
    <row r="2566" spans="1:2" x14ac:dyDescent="0.25">
      <c r="A2566" s="170"/>
      <c r="B2566" s="170"/>
    </row>
    <row r="2567" spans="1:2" x14ac:dyDescent="0.25">
      <c r="A2567" s="170"/>
      <c r="B2567" s="170"/>
    </row>
    <row r="2568" spans="1:2" x14ac:dyDescent="0.25">
      <c r="A2568" s="170"/>
      <c r="B2568" s="170"/>
    </row>
    <row r="2569" spans="1:2" x14ac:dyDescent="0.25">
      <c r="A2569" s="170"/>
      <c r="B2569" s="170"/>
    </row>
    <row r="2570" spans="1:2" x14ac:dyDescent="0.25">
      <c r="A2570" s="170"/>
      <c r="B2570" s="170"/>
    </row>
    <row r="2571" spans="1:2" x14ac:dyDescent="0.25">
      <c r="A2571" s="170"/>
      <c r="B2571" s="170"/>
    </row>
    <row r="2572" spans="1:2" x14ac:dyDescent="0.25">
      <c r="A2572" s="170"/>
      <c r="B2572" s="170"/>
    </row>
    <row r="2573" spans="1:2" x14ac:dyDescent="0.25">
      <c r="A2573" s="170"/>
      <c r="B2573" s="170"/>
    </row>
    <row r="2574" spans="1:2" x14ac:dyDescent="0.25">
      <c r="A2574" s="170"/>
      <c r="B2574" s="170"/>
    </row>
    <row r="2575" spans="1:2" x14ac:dyDescent="0.25">
      <c r="A2575" s="170"/>
      <c r="B2575" s="170"/>
    </row>
    <row r="2576" spans="1:2" x14ac:dyDescent="0.25">
      <c r="A2576" s="170"/>
      <c r="B2576" s="170"/>
    </row>
    <row r="2577" spans="1:2" x14ac:dyDescent="0.25">
      <c r="A2577" s="170"/>
      <c r="B2577" s="170"/>
    </row>
    <row r="2578" spans="1:2" x14ac:dyDescent="0.25">
      <c r="A2578" s="170"/>
      <c r="B2578" s="170"/>
    </row>
    <row r="2579" spans="1:2" x14ac:dyDescent="0.25">
      <c r="A2579" s="170"/>
      <c r="B2579" s="170"/>
    </row>
    <row r="2580" spans="1:2" x14ac:dyDescent="0.25">
      <c r="A2580" s="170"/>
      <c r="B2580" s="170"/>
    </row>
    <row r="2581" spans="1:2" x14ac:dyDescent="0.25">
      <c r="A2581" s="170"/>
      <c r="B2581" s="170"/>
    </row>
    <row r="2582" spans="1:2" x14ac:dyDescent="0.25">
      <c r="A2582" s="170"/>
      <c r="B2582" s="170"/>
    </row>
    <row r="2583" spans="1:2" x14ac:dyDescent="0.25">
      <c r="A2583" s="170"/>
      <c r="B2583" s="170"/>
    </row>
    <row r="2584" spans="1:2" x14ac:dyDescent="0.25">
      <c r="A2584" s="170"/>
      <c r="B2584" s="170"/>
    </row>
    <row r="2585" spans="1:2" x14ac:dyDescent="0.25">
      <c r="A2585" s="170"/>
      <c r="B2585" s="170"/>
    </row>
    <row r="2586" spans="1:2" x14ac:dyDescent="0.25">
      <c r="A2586" s="170"/>
      <c r="B2586" s="170"/>
    </row>
    <row r="2587" spans="1:2" x14ac:dyDescent="0.25">
      <c r="A2587" s="170"/>
      <c r="B2587" s="170"/>
    </row>
    <row r="2588" spans="1:2" x14ac:dyDescent="0.25">
      <c r="A2588" s="170"/>
      <c r="B2588" s="170"/>
    </row>
    <row r="2589" spans="1:2" x14ac:dyDescent="0.25">
      <c r="A2589" s="170"/>
      <c r="B2589" s="170"/>
    </row>
    <row r="2590" spans="1:2" x14ac:dyDescent="0.25">
      <c r="A2590" s="170"/>
      <c r="B2590" s="170"/>
    </row>
    <row r="2591" spans="1:2" x14ac:dyDescent="0.25">
      <c r="A2591" s="170"/>
      <c r="B2591" s="170"/>
    </row>
    <row r="2592" spans="1:2" x14ac:dyDescent="0.25">
      <c r="A2592" s="170"/>
      <c r="B2592" s="170"/>
    </row>
    <row r="2593" spans="1:2" x14ac:dyDescent="0.25">
      <c r="A2593" s="170"/>
      <c r="B2593" s="170"/>
    </row>
    <row r="2594" spans="1:2" x14ac:dyDescent="0.25">
      <c r="A2594" s="170"/>
      <c r="B2594" s="170"/>
    </row>
    <row r="2595" spans="1:2" x14ac:dyDescent="0.25">
      <c r="A2595" s="170"/>
      <c r="B2595" s="170"/>
    </row>
    <row r="2596" spans="1:2" x14ac:dyDescent="0.25">
      <c r="A2596" s="170"/>
      <c r="B2596" s="170"/>
    </row>
    <row r="2597" spans="1:2" x14ac:dyDescent="0.25">
      <c r="A2597" s="170"/>
      <c r="B2597" s="170"/>
    </row>
    <row r="2598" spans="1:2" x14ac:dyDescent="0.25">
      <c r="A2598" s="170"/>
      <c r="B2598" s="170"/>
    </row>
    <row r="2599" spans="1:2" x14ac:dyDescent="0.25">
      <c r="A2599" s="170"/>
      <c r="B2599" s="170"/>
    </row>
    <row r="2600" spans="1:2" x14ac:dyDescent="0.25">
      <c r="A2600" s="170"/>
      <c r="B2600" s="170"/>
    </row>
    <row r="2601" spans="1:2" x14ac:dyDescent="0.25">
      <c r="A2601" s="170"/>
      <c r="B2601" s="170"/>
    </row>
    <row r="2602" spans="1:2" x14ac:dyDescent="0.25">
      <c r="A2602" s="170"/>
      <c r="B2602" s="170"/>
    </row>
    <row r="2603" spans="1:2" x14ac:dyDescent="0.25">
      <c r="A2603" s="170"/>
      <c r="B2603" s="170"/>
    </row>
    <row r="2604" spans="1:2" x14ac:dyDescent="0.25">
      <c r="A2604" s="170"/>
      <c r="B2604" s="170"/>
    </row>
    <row r="2605" spans="1:2" x14ac:dyDescent="0.25">
      <c r="A2605" s="170"/>
      <c r="B2605" s="170"/>
    </row>
    <row r="2606" spans="1:2" x14ac:dyDescent="0.25">
      <c r="A2606" s="170"/>
      <c r="B2606" s="170"/>
    </row>
    <row r="2607" spans="1:2" x14ac:dyDescent="0.25">
      <c r="A2607" s="170"/>
      <c r="B2607" s="170"/>
    </row>
    <row r="2608" spans="1:2" x14ac:dyDescent="0.25">
      <c r="A2608" s="170"/>
      <c r="B2608" s="170"/>
    </row>
    <row r="2609" spans="1:2" x14ac:dyDescent="0.25">
      <c r="A2609" s="170"/>
      <c r="B2609" s="170"/>
    </row>
    <row r="2610" spans="1:2" x14ac:dyDescent="0.25">
      <c r="A2610" s="170"/>
      <c r="B2610" s="170"/>
    </row>
    <row r="2611" spans="1:2" x14ac:dyDescent="0.25">
      <c r="A2611" s="170"/>
      <c r="B2611" s="170"/>
    </row>
    <row r="2612" spans="1:2" x14ac:dyDescent="0.25">
      <c r="A2612" s="170"/>
      <c r="B2612" s="170"/>
    </row>
    <row r="2613" spans="1:2" x14ac:dyDescent="0.25">
      <c r="A2613" s="170"/>
      <c r="B2613" s="170"/>
    </row>
    <row r="2614" spans="1:2" x14ac:dyDescent="0.25">
      <c r="A2614" s="170"/>
      <c r="B2614" s="170"/>
    </row>
    <row r="2615" spans="1:2" x14ac:dyDescent="0.25">
      <c r="A2615" s="170"/>
      <c r="B2615" s="170"/>
    </row>
    <row r="2616" spans="1:2" x14ac:dyDescent="0.25">
      <c r="A2616" s="170"/>
      <c r="B2616" s="170"/>
    </row>
    <row r="2617" spans="1:2" x14ac:dyDescent="0.25">
      <c r="A2617" s="170"/>
      <c r="B2617" s="170"/>
    </row>
    <row r="2618" spans="1:2" x14ac:dyDescent="0.25">
      <c r="A2618" s="170"/>
      <c r="B2618" s="170"/>
    </row>
    <row r="2619" spans="1:2" x14ac:dyDescent="0.25">
      <c r="A2619" s="170"/>
      <c r="B2619" s="170"/>
    </row>
    <row r="2620" spans="1:2" x14ac:dyDescent="0.25">
      <c r="A2620" s="170"/>
      <c r="B2620" s="170"/>
    </row>
    <row r="2621" spans="1:2" x14ac:dyDescent="0.25">
      <c r="A2621" s="170"/>
      <c r="B2621" s="170"/>
    </row>
    <row r="2622" spans="1:2" x14ac:dyDescent="0.25">
      <c r="A2622" s="170"/>
      <c r="B2622" s="170"/>
    </row>
    <row r="2623" spans="1:2" x14ac:dyDescent="0.25">
      <c r="A2623" s="170"/>
      <c r="B2623" s="170"/>
    </row>
    <row r="2624" spans="1:2" x14ac:dyDescent="0.25">
      <c r="A2624" s="170"/>
      <c r="B2624" s="170"/>
    </row>
    <row r="2625" spans="1:2" x14ac:dyDescent="0.25">
      <c r="A2625" s="170"/>
      <c r="B2625" s="170"/>
    </row>
    <row r="2626" spans="1:2" x14ac:dyDescent="0.25">
      <c r="A2626" s="170"/>
      <c r="B2626" s="170"/>
    </row>
    <row r="2627" spans="1:2" x14ac:dyDescent="0.25">
      <c r="A2627" s="170"/>
      <c r="B2627" s="170"/>
    </row>
    <row r="2628" spans="1:2" x14ac:dyDescent="0.25">
      <c r="A2628" s="170"/>
      <c r="B2628" s="170"/>
    </row>
    <row r="2629" spans="1:2" x14ac:dyDescent="0.25">
      <c r="A2629" s="170"/>
      <c r="B2629" s="170"/>
    </row>
    <row r="2630" spans="1:2" x14ac:dyDescent="0.25">
      <c r="A2630" s="170"/>
      <c r="B2630" s="170"/>
    </row>
    <row r="2631" spans="1:2" x14ac:dyDescent="0.25">
      <c r="A2631" s="170"/>
      <c r="B2631" s="170"/>
    </row>
    <row r="2632" spans="1:2" x14ac:dyDescent="0.25">
      <c r="A2632" s="170"/>
      <c r="B2632" s="170"/>
    </row>
    <row r="2633" spans="1:2" x14ac:dyDescent="0.25">
      <c r="A2633" s="170"/>
      <c r="B2633" s="170"/>
    </row>
    <row r="2634" spans="1:2" x14ac:dyDescent="0.25">
      <c r="A2634" s="170"/>
      <c r="B2634" s="170"/>
    </row>
    <row r="2635" spans="1:2" x14ac:dyDescent="0.25">
      <c r="A2635" s="170"/>
      <c r="B2635" s="170"/>
    </row>
    <row r="2636" spans="1:2" x14ac:dyDescent="0.25">
      <c r="A2636" s="170"/>
      <c r="B2636" s="170"/>
    </row>
    <row r="2637" spans="1:2" x14ac:dyDescent="0.25">
      <c r="A2637" s="170"/>
      <c r="B2637" s="170"/>
    </row>
    <row r="2638" spans="1:2" x14ac:dyDescent="0.25">
      <c r="A2638" s="170"/>
      <c r="B2638" s="170"/>
    </row>
    <row r="2639" spans="1:2" x14ac:dyDescent="0.25">
      <c r="A2639" s="170"/>
      <c r="B2639" s="170"/>
    </row>
    <row r="2640" spans="1:2" x14ac:dyDescent="0.25">
      <c r="A2640" s="170"/>
      <c r="B2640" s="170"/>
    </row>
    <row r="2641" spans="1:2" x14ac:dyDescent="0.25">
      <c r="A2641" s="170"/>
      <c r="B2641" s="170"/>
    </row>
    <row r="2642" spans="1:2" x14ac:dyDescent="0.25">
      <c r="A2642" s="170"/>
      <c r="B2642" s="170"/>
    </row>
    <row r="2643" spans="1:2" x14ac:dyDescent="0.25">
      <c r="A2643" s="170"/>
      <c r="B2643" s="170"/>
    </row>
    <row r="2644" spans="1:2" x14ac:dyDescent="0.25">
      <c r="A2644" s="170"/>
      <c r="B2644" s="170"/>
    </row>
    <row r="2645" spans="1:2" x14ac:dyDescent="0.25">
      <c r="A2645" s="170"/>
      <c r="B2645" s="170"/>
    </row>
    <row r="2646" spans="1:2" x14ac:dyDescent="0.25">
      <c r="A2646" s="170"/>
      <c r="B2646" s="170"/>
    </row>
    <row r="2647" spans="1:2" x14ac:dyDescent="0.25">
      <c r="A2647" s="170"/>
      <c r="B2647" s="170"/>
    </row>
    <row r="2648" spans="1:2" x14ac:dyDescent="0.25">
      <c r="A2648" s="170"/>
      <c r="B2648" s="170"/>
    </row>
    <row r="2649" spans="1:2" x14ac:dyDescent="0.25">
      <c r="A2649" s="170"/>
      <c r="B2649" s="170"/>
    </row>
    <row r="2650" spans="1:2" x14ac:dyDescent="0.25">
      <c r="A2650" s="170"/>
      <c r="B2650" s="170"/>
    </row>
    <row r="2651" spans="1:2" x14ac:dyDescent="0.25">
      <c r="A2651" s="170"/>
      <c r="B2651" s="170"/>
    </row>
    <row r="2652" spans="1:2" x14ac:dyDescent="0.25">
      <c r="A2652" s="170"/>
      <c r="B2652" s="170"/>
    </row>
    <row r="2653" spans="1:2" x14ac:dyDescent="0.25">
      <c r="A2653" s="170"/>
      <c r="B2653" s="170"/>
    </row>
    <row r="2654" spans="1:2" x14ac:dyDescent="0.25">
      <c r="A2654" s="170"/>
      <c r="B2654" s="170"/>
    </row>
    <row r="2655" spans="1:2" x14ac:dyDescent="0.25">
      <c r="A2655" s="170"/>
      <c r="B2655" s="170"/>
    </row>
    <row r="2656" spans="1:2" x14ac:dyDescent="0.25">
      <c r="A2656" s="170"/>
      <c r="B2656" s="170"/>
    </row>
    <row r="2657" spans="1:2" x14ac:dyDescent="0.25">
      <c r="A2657" s="170"/>
      <c r="B2657" s="170"/>
    </row>
    <row r="2658" spans="1:2" x14ac:dyDescent="0.25">
      <c r="A2658" s="170"/>
      <c r="B2658" s="170"/>
    </row>
    <row r="2659" spans="1:2" x14ac:dyDescent="0.25">
      <c r="A2659" s="170"/>
      <c r="B2659" s="170"/>
    </row>
    <row r="2660" spans="1:2" x14ac:dyDescent="0.25">
      <c r="A2660" s="170"/>
      <c r="B2660" s="170"/>
    </row>
    <row r="2661" spans="1:2" x14ac:dyDescent="0.25">
      <c r="A2661" s="170"/>
      <c r="B2661" s="170"/>
    </row>
    <row r="2662" spans="1:2" x14ac:dyDescent="0.25">
      <c r="A2662" s="170"/>
      <c r="B2662" s="170"/>
    </row>
    <row r="2663" spans="1:2" x14ac:dyDescent="0.25">
      <c r="A2663" s="170"/>
      <c r="B2663" s="170"/>
    </row>
    <row r="2664" spans="1:2" x14ac:dyDescent="0.25">
      <c r="A2664" s="170"/>
      <c r="B2664" s="170"/>
    </row>
    <row r="2665" spans="1:2" x14ac:dyDescent="0.25">
      <c r="A2665" s="170"/>
      <c r="B2665" s="170"/>
    </row>
    <row r="2666" spans="1:2" x14ac:dyDescent="0.25">
      <c r="A2666" s="170"/>
      <c r="B2666" s="170"/>
    </row>
    <row r="2667" spans="1:2" x14ac:dyDescent="0.25">
      <c r="A2667" s="170"/>
      <c r="B2667" s="170"/>
    </row>
    <row r="2668" spans="1:2" x14ac:dyDescent="0.25">
      <c r="A2668" s="170"/>
      <c r="B2668" s="170"/>
    </row>
    <row r="2669" spans="1:2" x14ac:dyDescent="0.25">
      <c r="A2669" s="170"/>
      <c r="B2669" s="170"/>
    </row>
    <row r="2670" spans="1:2" x14ac:dyDescent="0.25">
      <c r="A2670" s="170"/>
      <c r="B2670" s="170"/>
    </row>
    <row r="2671" spans="1:2" x14ac:dyDescent="0.25">
      <c r="A2671" s="170"/>
      <c r="B2671" s="170"/>
    </row>
    <row r="2672" spans="1:2" x14ac:dyDescent="0.25">
      <c r="A2672" s="170"/>
      <c r="B2672" s="170"/>
    </row>
    <row r="2673" spans="1:2" x14ac:dyDescent="0.25">
      <c r="A2673" s="170"/>
      <c r="B2673" s="170"/>
    </row>
    <row r="2674" spans="1:2" x14ac:dyDescent="0.25">
      <c r="A2674" s="170"/>
      <c r="B2674" s="170"/>
    </row>
    <row r="2675" spans="1:2" x14ac:dyDescent="0.25">
      <c r="A2675" s="170"/>
      <c r="B2675" s="170"/>
    </row>
    <row r="2676" spans="1:2" x14ac:dyDescent="0.25">
      <c r="A2676" s="170"/>
      <c r="B2676" s="170"/>
    </row>
    <row r="2677" spans="1:2" x14ac:dyDescent="0.25">
      <c r="A2677" s="170"/>
      <c r="B2677" s="170"/>
    </row>
    <row r="2678" spans="1:2" x14ac:dyDescent="0.25">
      <c r="A2678" s="170"/>
      <c r="B2678" s="170"/>
    </row>
    <row r="2679" spans="1:2" x14ac:dyDescent="0.25">
      <c r="A2679" s="170"/>
      <c r="B2679" s="170"/>
    </row>
    <row r="2680" spans="1:2" x14ac:dyDescent="0.25">
      <c r="A2680" s="170"/>
      <c r="B2680" s="170"/>
    </row>
    <row r="2681" spans="1:2" x14ac:dyDescent="0.25">
      <c r="A2681" s="170"/>
      <c r="B2681" s="170"/>
    </row>
    <row r="2682" spans="1:2" x14ac:dyDescent="0.25">
      <c r="A2682" s="170"/>
      <c r="B2682" s="170"/>
    </row>
    <row r="2683" spans="1:2" x14ac:dyDescent="0.25">
      <c r="A2683" s="170"/>
      <c r="B2683" s="170"/>
    </row>
    <row r="2684" spans="1:2" x14ac:dyDescent="0.25">
      <c r="A2684" s="170"/>
      <c r="B2684" s="170"/>
    </row>
    <row r="2685" spans="1:2" x14ac:dyDescent="0.25">
      <c r="A2685" s="170"/>
      <c r="B2685" s="170"/>
    </row>
    <row r="2686" spans="1:2" x14ac:dyDescent="0.25">
      <c r="A2686" s="170"/>
      <c r="B2686" s="170"/>
    </row>
    <row r="2687" spans="1:2" x14ac:dyDescent="0.25">
      <c r="A2687" s="170"/>
      <c r="B2687" s="170"/>
    </row>
    <row r="2688" spans="1:2" x14ac:dyDescent="0.25">
      <c r="A2688" s="170"/>
      <c r="B2688" s="170"/>
    </row>
    <row r="2689" spans="1:2" x14ac:dyDescent="0.25">
      <c r="A2689" s="170"/>
      <c r="B2689" s="170"/>
    </row>
    <row r="2690" spans="1:2" x14ac:dyDescent="0.25">
      <c r="A2690" s="170"/>
      <c r="B2690" s="170"/>
    </row>
    <row r="2691" spans="1:2" x14ac:dyDescent="0.25">
      <c r="A2691" s="170"/>
      <c r="B2691" s="170"/>
    </row>
    <row r="2692" spans="1:2" x14ac:dyDescent="0.25">
      <c r="A2692" s="170"/>
      <c r="B2692" s="170"/>
    </row>
    <row r="2693" spans="1:2" x14ac:dyDescent="0.25">
      <c r="A2693" s="170"/>
      <c r="B2693" s="170"/>
    </row>
    <row r="2694" spans="1:2" x14ac:dyDescent="0.25">
      <c r="A2694" s="170"/>
      <c r="B2694" s="170"/>
    </row>
    <row r="2695" spans="1:2" x14ac:dyDescent="0.25">
      <c r="A2695" s="170"/>
      <c r="B2695" s="170"/>
    </row>
    <row r="2696" spans="1:2" x14ac:dyDescent="0.25">
      <c r="A2696" s="170"/>
      <c r="B2696" s="170"/>
    </row>
    <row r="2697" spans="1:2" x14ac:dyDescent="0.25">
      <c r="A2697" s="170"/>
      <c r="B2697" s="170"/>
    </row>
    <row r="2698" spans="1:2" x14ac:dyDescent="0.25">
      <c r="A2698" s="170"/>
      <c r="B2698" s="170"/>
    </row>
    <row r="2699" spans="1:2" x14ac:dyDescent="0.25">
      <c r="A2699" s="170"/>
      <c r="B2699" s="170"/>
    </row>
    <row r="2700" spans="1:2" x14ac:dyDescent="0.25">
      <c r="A2700" s="170"/>
      <c r="B2700" s="170"/>
    </row>
    <row r="2701" spans="1:2" x14ac:dyDescent="0.25">
      <c r="A2701" s="170"/>
      <c r="B2701" s="170"/>
    </row>
    <row r="2702" spans="1:2" x14ac:dyDescent="0.25">
      <c r="A2702" s="170"/>
      <c r="B2702" s="170"/>
    </row>
    <row r="2703" spans="1:2" x14ac:dyDescent="0.25">
      <c r="A2703" s="170"/>
      <c r="B2703" s="170"/>
    </row>
    <row r="2704" spans="1:2" x14ac:dyDescent="0.25">
      <c r="A2704" s="170"/>
      <c r="B2704" s="170"/>
    </row>
    <row r="2705" spans="1:2" x14ac:dyDescent="0.25">
      <c r="A2705" s="170"/>
      <c r="B2705" s="170"/>
    </row>
    <row r="2706" spans="1:2" x14ac:dyDescent="0.25">
      <c r="A2706" s="170"/>
      <c r="B2706" s="170"/>
    </row>
    <row r="2707" spans="1:2" x14ac:dyDescent="0.25">
      <c r="A2707" s="170"/>
      <c r="B2707" s="170"/>
    </row>
    <row r="2708" spans="1:2" x14ac:dyDescent="0.25">
      <c r="A2708" s="170"/>
      <c r="B2708" s="170"/>
    </row>
    <row r="2709" spans="1:2" x14ac:dyDescent="0.25">
      <c r="A2709" s="170"/>
      <c r="B2709" s="170"/>
    </row>
    <row r="2710" spans="1:2" x14ac:dyDescent="0.25">
      <c r="A2710" s="170"/>
      <c r="B2710" s="170"/>
    </row>
    <row r="2711" spans="1:2" x14ac:dyDescent="0.25">
      <c r="A2711" s="170"/>
      <c r="B2711" s="170"/>
    </row>
    <row r="2712" spans="1:2" x14ac:dyDescent="0.25">
      <c r="A2712" s="170"/>
      <c r="B2712" s="170"/>
    </row>
    <row r="2713" spans="1:2" x14ac:dyDescent="0.25">
      <c r="A2713" s="170"/>
      <c r="B2713" s="170"/>
    </row>
    <row r="2714" spans="1:2" x14ac:dyDescent="0.25">
      <c r="A2714" s="170"/>
      <c r="B2714" s="170"/>
    </row>
    <row r="2715" spans="1:2" x14ac:dyDescent="0.25">
      <c r="A2715" s="170"/>
      <c r="B2715" s="170"/>
    </row>
    <row r="2716" spans="1:2" x14ac:dyDescent="0.25">
      <c r="A2716" s="170"/>
      <c r="B2716" s="170"/>
    </row>
    <row r="2717" spans="1:2" x14ac:dyDescent="0.25">
      <c r="A2717" s="170"/>
      <c r="B2717" s="170"/>
    </row>
    <row r="2718" spans="1:2" x14ac:dyDescent="0.25">
      <c r="A2718" s="170"/>
      <c r="B2718" s="170"/>
    </row>
    <row r="2719" spans="1:2" x14ac:dyDescent="0.25">
      <c r="A2719" s="170"/>
      <c r="B2719" s="170"/>
    </row>
    <row r="2720" spans="1:2" x14ac:dyDescent="0.25">
      <c r="A2720" s="170"/>
      <c r="B2720" s="170"/>
    </row>
    <row r="2721" spans="1:2" x14ac:dyDescent="0.25">
      <c r="A2721" s="170"/>
      <c r="B2721" s="170"/>
    </row>
    <row r="2722" spans="1:2" x14ac:dyDescent="0.25">
      <c r="A2722" s="170"/>
      <c r="B2722" s="170"/>
    </row>
    <row r="2723" spans="1:2" x14ac:dyDescent="0.25">
      <c r="A2723" s="170"/>
      <c r="B2723" s="170"/>
    </row>
    <row r="2724" spans="1:2" x14ac:dyDescent="0.25">
      <c r="A2724" s="170"/>
      <c r="B2724" s="170"/>
    </row>
    <row r="2725" spans="1:2" x14ac:dyDescent="0.25">
      <c r="A2725" s="170"/>
      <c r="B2725" s="170"/>
    </row>
    <row r="2726" spans="1:2" x14ac:dyDescent="0.25">
      <c r="A2726" s="170"/>
      <c r="B2726" s="170"/>
    </row>
    <row r="2727" spans="1:2" x14ac:dyDescent="0.25">
      <c r="A2727" s="170"/>
      <c r="B2727" s="170"/>
    </row>
    <row r="2728" spans="1:2" x14ac:dyDescent="0.25">
      <c r="A2728" s="170"/>
      <c r="B2728" s="170"/>
    </row>
    <row r="2729" spans="1:2" x14ac:dyDescent="0.25">
      <c r="A2729" s="170"/>
      <c r="B2729" s="170"/>
    </row>
    <row r="2730" spans="1:2" x14ac:dyDescent="0.25">
      <c r="A2730" s="170"/>
      <c r="B2730" s="170"/>
    </row>
    <row r="2731" spans="1:2" x14ac:dyDescent="0.25">
      <c r="A2731" s="170"/>
      <c r="B2731" s="170"/>
    </row>
    <row r="2732" spans="1:2" x14ac:dyDescent="0.25">
      <c r="A2732" s="170"/>
      <c r="B2732" s="170"/>
    </row>
    <row r="2733" spans="1:2" x14ac:dyDescent="0.25">
      <c r="A2733" s="170"/>
      <c r="B2733" s="170"/>
    </row>
    <row r="2734" spans="1:2" x14ac:dyDescent="0.25">
      <c r="A2734" s="170"/>
      <c r="B2734" s="170"/>
    </row>
    <row r="2735" spans="1:2" x14ac:dyDescent="0.25">
      <c r="A2735" s="170"/>
      <c r="B2735" s="170"/>
    </row>
    <row r="2736" spans="1:2" x14ac:dyDescent="0.25">
      <c r="A2736" s="170"/>
      <c r="B2736" s="170"/>
    </row>
    <row r="2737" spans="1:2" x14ac:dyDescent="0.25">
      <c r="A2737" s="170"/>
      <c r="B2737" s="170"/>
    </row>
    <row r="2738" spans="1:2" x14ac:dyDescent="0.25">
      <c r="A2738" s="170"/>
      <c r="B2738" s="170"/>
    </row>
    <row r="2739" spans="1:2" x14ac:dyDescent="0.25">
      <c r="A2739" s="170"/>
      <c r="B2739" s="170"/>
    </row>
    <row r="2740" spans="1:2" x14ac:dyDescent="0.25">
      <c r="A2740" s="170"/>
      <c r="B2740" s="170"/>
    </row>
    <row r="2741" spans="1:2" x14ac:dyDescent="0.25">
      <c r="A2741" s="170"/>
      <c r="B2741" s="170"/>
    </row>
    <row r="2742" spans="1:2" x14ac:dyDescent="0.25">
      <c r="A2742" s="170"/>
      <c r="B2742" s="170"/>
    </row>
    <row r="2743" spans="1:2" x14ac:dyDescent="0.25">
      <c r="A2743" s="170"/>
      <c r="B2743" s="170"/>
    </row>
    <row r="2744" spans="1:2" x14ac:dyDescent="0.25">
      <c r="A2744" s="170"/>
      <c r="B2744" s="170"/>
    </row>
    <row r="2745" spans="1:2" x14ac:dyDescent="0.25">
      <c r="A2745" s="170"/>
      <c r="B2745" s="170"/>
    </row>
    <row r="2746" spans="1:2" x14ac:dyDescent="0.25">
      <c r="A2746" s="170"/>
      <c r="B2746" s="170"/>
    </row>
    <row r="2747" spans="1:2" x14ac:dyDescent="0.25">
      <c r="A2747" s="170"/>
      <c r="B2747" s="170"/>
    </row>
    <row r="2748" spans="1:2" x14ac:dyDescent="0.25">
      <c r="A2748" s="170"/>
      <c r="B2748" s="170"/>
    </row>
    <row r="2749" spans="1:2" x14ac:dyDescent="0.25">
      <c r="A2749" s="170"/>
      <c r="B2749" s="170"/>
    </row>
    <row r="2750" spans="1:2" x14ac:dyDescent="0.25">
      <c r="A2750" s="170"/>
      <c r="B2750" s="170"/>
    </row>
    <row r="2751" spans="1:2" x14ac:dyDescent="0.25">
      <c r="A2751" s="170"/>
      <c r="B2751" s="170"/>
    </row>
    <row r="2752" spans="1:2" x14ac:dyDescent="0.25">
      <c r="A2752" s="170"/>
      <c r="B2752" s="170"/>
    </row>
    <row r="2753" spans="1:2" x14ac:dyDescent="0.25">
      <c r="A2753" s="170"/>
      <c r="B2753" s="170"/>
    </row>
    <row r="2754" spans="1:2" x14ac:dyDescent="0.25">
      <c r="A2754" s="170"/>
      <c r="B2754" s="170"/>
    </row>
    <row r="2755" spans="1:2" x14ac:dyDescent="0.25">
      <c r="A2755" s="170"/>
      <c r="B2755" s="170"/>
    </row>
    <row r="2756" spans="1:2" x14ac:dyDescent="0.25">
      <c r="A2756" s="170"/>
      <c r="B2756" s="170"/>
    </row>
    <row r="2757" spans="1:2" x14ac:dyDescent="0.25">
      <c r="A2757" s="170"/>
      <c r="B2757" s="170"/>
    </row>
    <row r="2758" spans="1:2" x14ac:dyDescent="0.25">
      <c r="A2758" s="170"/>
      <c r="B2758" s="170"/>
    </row>
    <row r="2759" spans="1:2" x14ac:dyDescent="0.25">
      <c r="A2759" s="170"/>
      <c r="B2759" s="170"/>
    </row>
    <row r="2760" spans="1:2" x14ac:dyDescent="0.25">
      <c r="A2760" s="170"/>
      <c r="B2760" s="170"/>
    </row>
    <row r="2761" spans="1:2" x14ac:dyDescent="0.25">
      <c r="A2761" s="170"/>
      <c r="B2761" s="170"/>
    </row>
    <row r="2762" spans="1:2" x14ac:dyDescent="0.25">
      <c r="A2762" s="170"/>
      <c r="B2762" s="170"/>
    </row>
    <row r="2763" spans="1:2" x14ac:dyDescent="0.25">
      <c r="A2763" s="170"/>
      <c r="B2763" s="170"/>
    </row>
    <row r="2764" spans="1:2" x14ac:dyDescent="0.25">
      <c r="A2764" s="170"/>
      <c r="B2764" s="170"/>
    </row>
    <row r="2765" spans="1:2" x14ac:dyDescent="0.25">
      <c r="A2765" s="170"/>
      <c r="B2765" s="170"/>
    </row>
    <row r="2766" spans="1:2" x14ac:dyDescent="0.25">
      <c r="A2766" s="170"/>
      <c r="B2766" s="170"/>
    </row>
    <row r="2767" spans="1:2" x14ac:dyDescent="0.25">
      <c r="A2767" s="170"/>
      <c r="B2767" s="170"/>
    </row>
    <row r="2768" spans="1:2" x14ac:dyDescent="0.25">
      <c r="A2768" s="170"/>
      <c r="B2768" s="170"/>
    </row>
    <row r="2769" spans="1:2" x14ac:dyDescent="0.25">
      <c r="A2769" s="170"/>
      <c r="B2769" s="170"/>
    </row>
    <row r="2770" spans="1:2" x14ac:dyDescent="0.25">
      <c r="A2770" s="170"/>
      <c r="B2770" s="170"/>
    </row>
    <row r="2771" spans="1:2" x14ac:dyDescent="0.25">
      <c r="A2771" s="170"/>
      <c r="B2771" s="170"/>
    </row>
    <row r="2772" spans="1:2" x14ac:dyDescent="0.25">
      <c r="A2772" s="170"/>
      <c r="B2772" s="170"/>
    </row>
    <row r="2773" spans="1:2" x14ac:dyDescent="0.25">
      <c r="A2773" s="170"/>
      <c r="B2773" s="170"/>
    </row>
    <row r="2774" spans="1:2" x14ac:dyDescent="0.25">
      <c r="A2774" s="170"/>
      <c r="B2774" s="170"/>
    </row>
    <row r="2775" spans="1:2" x14ac:dyDescent="0.25">
      <c r="A2775" s="170"/>
      <c r="B2775" s="170"/>
    </row>
    <row r="2776" spans="1:2" x14ac:dyDescent="0.25">
      <c r="A2776" s="170"/>
      <c r="B2776" s="170"/>
    </row>
    <row r="2777" spans="1:2" x14ac:dyDescent="0.25">
      <c r="A2777" s="170"/>
      <c r="B2777" s="170"/>
    </row>
    <row r="2778" spans="1:2" x14ac:dyDescent="0.25">
      <c r="A2778" s="170"/>
      <c r="B2778" s="170"/>
    </row>
    <row r="2779" spans="1:2" x14ac:dyDescent="0.25">
      <c r="A2779" s="170"/>
      <c r="B2779" s="170"/>
    </row>
    <row r="2780" spans="1:2" x14ac:dyDescent="0.25">
      <c r="A2780" s="170"/>
      <c r="B2780" s="170"/>
    </row>
    <row r="2781" spans="1:2" x14ac:dyDescent="0.25">
      <c r="A2781" s="170"/>
      <c r="B2781" s="170"/>
    </row>
    <row r="2782" spans="1:2" x14ac:dyDescent="0.25">
      <c r="A2782" s="170"/>
      <c r="B2782" s="170"/>
    </row>
    <row r="2783" spans="1:2" x14ac:dyDescent="0.25">
      <c r="A2783" s="170"/>
      <c r="B2783" s="170"/>
    </row>
    <row r="2784" spans="1:2" x14ac:dyDescent="0.25">
      <c r="A2784" s="170"/>
      <c r="B2784" s="170"/>
    </row>
    <row r="2785" spans="1:2" x14ac:dyDescent="0.25">
      <c r="A2785" s="170"/>
      <c r="B2785" s="170"/>
    </row>
    <row r="2786" spans="1:2" x14ac:dyDescent="0.25">
      <c r="A2786" s="170"/>
      <c r="B2786" s="170"/>
    </row>
    <row r="2787" spans="1:2" x14ac:dyDescent="0.25">
      <c r="A2787" s="170"/>
      <c r="B2787" s="170"/>
    </row>
    <row r="2788" spans="1:2" x14ac:dyDescent="0.25">
      <c r="A2788" s="170"/>
      <c r="B2788" s="170"/>
    </row>
    <row r="2789" spans="1:2" x14ac:dyDescent="0.25">
      <c r="A2789" s="170"/>
      <c r="B2789" s="170"/>
    </row>
    <row r="2790" spans="1:2" x14ac:dyDescent="0.25">
      <c r="A2790" s="170"/>
      <c r="B2790" s="170"/>
    </row>
    <row r="2791" spans="1:2" x14ac:dyDescent="0.25">
      <c r="A2791" s="170"/>
      <c r="B2791" s="170"/>
    </row>
    <row r="2792" spans="1:2" x14ac:dyDescent="0.25">
      <c r="A2792" s="170"/>
      <c r="B2792" s="170"/>
    </row>
    <row r="2793" spans="1:2" x14ac:dyDescent="0.25">
      <c r="A2793" s="170"/>
      <c r="B2793" s="170"/>
    </row>
    <row r="2794" spans="1:2" x14ac:dyDescent="0.25">
      <c r="A2794" s="170"/>
      <c r="B2794" s="170"/>
    </row>
    <row r="2795" spans="1:2" x14ac:dyDescent="0.25">
      <c r="A2795" s="170"/>
      <c r="B2795" s="170"/>
    </row>
    <row r="2796" spans="1:2" x14ac:dyDescent="0.25">
      <c r="A2796" s="170"/>
      <c r="B2796" s="170"/>
    </row>
    <row r="2797" spans="1:2" x14ac:dyDescent="0.25">
      <c r="A2797" s="170"/>
      <c r="B2797" s="170"/>
    </row>
    <row r="2798" spans="1:2" x14ac:dyDescent="0.25">
      <c r="A2798" s="170"/>
      <c r="B2798" s="170"/>
    </row>
    <row r="2799" spans="1:2" x14ac:dyDescent="0.25">
      <c r="A2799" s="170"/>
      <c r="B2799" s="170"/>
    </row>
    <row r="2800" spans="1:2" x14ac:dyDescent="0.25">
      <c r="A2800" s="170"/>
      <c r="B2800" s="170"/>
    </row>
    <row r="2801" spans="1:2" x14ac:dyDescent="0.25">
      <c r="A2801" s="170"/>
      <c r="B2801" s="170"/>
    </row>
    <row r="2802" spans="1:2" x14ac:dyDescent="0.25">
      <c r="A2802" s="170"/>
      <c r="B2802" s="170"/>
    </row>
    <row r="2803" spans="1:2" x14ac:dyDescent="0.25">
      <c r="A2803" s="170"/>
      <c r="B2803" s="170"/>
    </row>
    <row r="2804" spans="1:2" x14ac:dyDescent="0.25">
      <c r="A2804" s="170"/>
      <c r="B2804" s="170"/>
    </row>
    <row r="2805" spans="1:2" x14ac:dyDescent="0.25">
      <c r="A2805" s="170"/>
      <c r="B2805" s="170"/>
    </row>
    <row r="2806" spans="1:2" x14ac:dyDescent="0.25">
      <c r="A2806" s="170"/>
      <c r="B2806" s="170"/>
    </row>
    <row r="2807" spans="1:2" x14ac:dyDescent="0.25">
      <c r="A2807" s="170"/>
      <c r="B2807" s="170"/>
    </row>
    <row r="2808" spans="1:2" x14ac:dyDescent="0.25">
      <c r="A2808" s="170"/>
      <c r="B2808" s="170"/>
    </row>
    <row r="2809" spans="1:2" x14ac:dyDescent="0.25">
      <c r="A2809" s="170"/>
      <c r="B2809" s="170"/>
    </row>
    <row r="2810" spans="1:2" x14ac:dyDescent="0.25">
      <c r="A2810" s="170"/>
      <c r="B2810" s="170"/>
    </row>
    <row r="2811" spans="1:2" x14ac:dyDescent="0.25">
      <c r="A2811" s="170"/>
      <c r="B2811" s="170"/>
    </row>
    <row r="2812" spans="1:2" x14ac:dyDescent="0.25">
      <c r="A2812" s="170"/>
      <c r="B2812" s="170"/>
    </row>
    <row r="2813" spans="1:2" x14ac:dyDescent="0.25">
      <c r="A2813" s="170"/>
      <c r="B2813" s="170"/>
    </row>
    <row r="2814" spans="1:2" x14ac:dyDescent="0.25">
      <c r="A2814" s="170"/>
      <c r="B2814" s="170"/>
    </row>
    <row r="2815" spans="1:2" x14ac:dyDescent="0.25">
      <c r="A2815" s="170"/>
      <c r="B2815" s="170"/>
    </row>
    <row r="2816" spans="1:2" x14ac:dyDescent="0.25">
      <c r="A2816" s="170"/>
      <c r="B2816" s="170"/>
    </row>
    <row r="2817" spans="1:2" x14ac:dyDescent="0.25">
      <c r="A2817" s="170"/>
      <c r="B2817" s="170"/>
    </row>
    <row r="2818" spans="1:2" x14ac:dyDescent="0.25">
      <c r="A2818" s="170"/>
      <c r="B2818" s="170"/>
    </row>
    <row r="2819" spans="1:2" x14ac:dyDescent="0.25">
      <c r="A2819" s="170"/>
      <c r="B2819" s="170"/>
    </row>
    <row r="2820" spans="1:2" x14ac:dyDescent="0.25">
      <c r="A2820" s="170"/>
      <c r="B2820" s="170"/>
    </row>
    <row r="2821" spans="1:2" x14ac:dyDescent="0.25">
      <c r="A2821" s="170"/>
      <c r="B2821" s="170"/>
    </row>
    <row r="2822" spans="1:2" x14ac:dyDescent="0.25">
      <c r="A2822" s="170"/>
      <c r="B2822" s="170"/>
    </row>
    <row r="2823" spans="1:2" x14ac:dyDescent="0.25">
      <c r="A2823" s="170"/>
      <c r="B2823" s="170"/>
    </row>
    <row r="2824" spans="1:2" x14ac:dyDescent="0.25">
      <c r="A2824" s="170"/>
      <c r="B2824" s="170"/>
    </row>
    <row r="2825" spans="1:2" x14ac:dyDescent="0.25">
      <c r="A2825" s="170"/>
      <c r="B2825" s="170"/>
    </row>
    <row r="2826" spans="1:2" x14ac:dyDescent="0.25">
      <c r="A2826" s="170"/>
      <c r="B2826" s="170"/>
    </row>
    <row r="2827" spans="1:2" x14ac:dyDescent="0.25">
      <c r="A2827" s="170"/>
      <c r="B2827" s="170"/>
    </row>
    <row r="2828" spans="1:2" x14ac:dyDescent="0.25">
      <c r="A2828" s="170"/>
      <c r="B2828" s="170"/>
    </row>
    <row r="2829" spans="1:2" x14ac:dyDescent="0.25">
      <c r="A2829" s="170"/>
      <c r="B2829" s="170"/>
    </row>
    <row r="2830" spans="1:2" x14ac:dyDescent="0.25">
      <c r="A2830" s="170"/>
      <c r="B2830" s="170"/>
    </row>
    <row r="2831" spans="1:2" x14ac:dyDescent="0.25">
      <c r="A2831" s="170"/>
      <c r="B2831" s="170"/>
    </row>
    <row r="2832" spans="1:2" x14ac:dyDescent="0.25">
      <c r="A2832" s="170"/>
      <c r="B2832" s="170"/>
    </row>
    <row r="2833" spans="1:2" x14ac:dyDescent="0.25">
      <c r="A2833" s="170"/>
      <c r="B2833" s="170"/>
    </row>
    <row r="2834" spans="1:2" x14ac:dyDescent="0.25">
      <c r="A2834" s="170"/>
      <c r="B2834" s="170"/>
    </row>
    <row r="2835" spans="1:2" x14ac:dyDescent="0.25">
      <c r="A2835" s="170"/>
      <c r="B2835" s="170"/>
    </row>
    <row r="2836" spans="1:2" x14ac:dyDescent="0.25">
      <c r="A2836" s="170"/>
      <c r="B2836" s="170"/>
    </row>
    <row r="2837" spans="1:2" x14ac:dyDescent="0.25">
      <c r="A2837" s="170"/>
      <c r="B2837" s="170"/>
    </row>
    <row r="2838" spans="1:2" x14ac:dyDescent="0.25">
      <c r="A2838" s="170"/>
      <c r="B2838" s="170"/>
    </row>
    <row r="2839" spans="1:2" x14ac:dyDescent="0.25">
      <c r="A2839" s="170"/>
      <c r="B2839" s="170"/>
    </row>
    <row r="2840" spans="1:2" x14ac:dyDescent="0.25">
      <c r="A2840" s="170"/>
      <c r="B2840" s="170"/>
    </row>
    <row r="2841" spans="1:2" x14ac:dyDescent="0.25">
      <c r="A2841" s="170"/>
      <c r="B2841" s="170"/>
    </row>
    <row r="2842" spans="1:2" x14ac:dyDescent="0.25">
      <c r="A2842" s="170"/>
      <c r="B2842" s="170"/>
    </row>
    <row r="2843" spans="1:2" x14ac:dyDescent="0.25">
      <c r="A2843" s="170"/>
      <c r="B2843" s="170"/>
    </row>
    <row r="2844" spans="1:2" x14ac:dyDescent="0.25">
      <c r="A2844" s="170"/>
      <c r="B2844" s="170"/>
    </row>
    <row r="2845" spans="1:2" x14ac:dyDescent="0.25">
      <c r="A2845" s="170"/>
      <c r="B2845" s="170"/>
    </row>
    <row r="2846" spans="1:2" x14ac:dyDescent="0.25">
      <c r="A2846" s="170"/>
      <c r="B2846" s="170"/>
    </row>
    <row r="2847" spans="1:2" x14ac:dyDescent="0.25">
      <c r="A2847" s="170"/>
      <c r="B2847" s="170"/>
    </row>
    <row r="2848" spans="1:2" x14ac:dyDescent="0.25">
      <c r="A2848" s="170"/>
      <c r="B2848" s="170"/>
    </row>
    <row r="2849" spans="1:2" x14ac:dyDescent="0.25">
      <c r="A2849" s="170"/>
      <c r="B2849" s="170"/>
    </row>
    <row r="2850" spans="1:2" x14ac:dyDescent="0.25">
      <c r="A2850" s="170"/>
      <c r="B2850" s="170"/>
    </row>
    <row r="2851" spans="1:2" x14ac:dyDescent="0.25">
      <c r="A2851" s="170"/>
      <c r="B2851" s="170"/>
    </row>
    <row r="2852" spans="1:2" x14ac:dyDescent="0.25">
      <c r="A2852" s="170"/>
      <c r="B2852" s="170"/>
    </row>
    <row r="2853" spans="1:2" x14ac:dyDescent="0.25">
      <c r="A2853" s="170"/>
      <c r="B2853" s="170"/>
    </row>
    <row r="2854" spans="1:2" x14ac:dyDescent="0.25">
      <c r="A2854" s="170"/>
      <c r="B2854" s="170"/>
    </row>
    <row r="2855" spans="1:2" x14ac:dyDescent="0.25">
      <c r="A2855" s="170"/>
      <c r="B2855" s="170"/>
    </row>
    <row r="2856" spans="1:2" x14ac:dyDescent="0.25">
      <c r="A2856" s="170"/>
      <c r="B2856" s="170"/>
    </row>
    <row r="2857" spans="1:2" x14ac:dyDescent="0.25">
      <c r="A2857" s="170"/>
      <c r="B2857" s="170"/>
    </row>
    <row r="2858" spans="1:2" x14ac:dyDescent="0.25">
      <c r="A2858" s="170"/>
      <c r="B2858" s="170"/>
    </row>
    <row r="2859" spans="1:2" x14ac:dyDescent="0.25">
      <c r="A2859" s="170"/>
      <c r="B2859" s="170"/>
    </row>
    <row r="2860" spans="1:2" x14ac:dyDescent="0.25">
      <c r="A2860" s="170"/>
      <c r="B2860" s="170"/>
    </row>
    <row r="2861" spans="1:2" x14ac:dyDescent="0.25">
      <c r="A2861" s="170"/>
      <c r="B2861" s="170"/>
    </row>
    <row r="2862" spans="1:2" x14ac:dyDescent="0.25">
      <c r="A2862" s="170"/>
      <c r="B2862" s="170"/>
    </row>
    <row r="2863" spans="1:2" x14ac:dyDescent="0.25">
      <c r="A2863" s="170"/>
      <c r="B2863" s="170"/>
    </row>
    <row r="2864" spans="1:2" x14ac:dyDescent="0.25">
      <c r="A2864" s="170"/>
      <c r="B2864" s="170"/>
    </row>
    <row r="2865" spans="1:2" x14ac:dyDescent="0.25">
      <c r="A2865" s="170"/>
      <c r="B2865" s="170"/>
    </row>
    <row r="2866" spans="1:2" x14ac:dyDescent="0.25">
      <c r="A2866" s="170"/>
      <c r="B2866" s="170"/>
    </row>
    <row r="2867" spans="1:2" x14ac:dyDescent="0.25">
      <c r="A2867" s="170"/>
      <c r="B2867" s="170"/>
    </row>
    <row r="2868" spans="1:2" x14ac:dyDescent="0.25">
      <c r="A2868" s="170"/>
      <c r="B2868" s="170"/>
    </row>
    <row r="2869" spans="1:2" x14ac:dyDescent="0.25">
      <c r="A2869" s="170"/>
      <c r="B2869" s="170"/>
    </row>
    <row r="2870" spans="1:2" x14ac:dyDescent="0.25">
      <c r="A2870" s="170"/>
      <c r="B2870" s="170"/>
    </row>
    <row r="2871" spans="1:2" x14ac:dyDescent="0.25">
      <c r="A2871" s="170"/>
      <c r="B2871" s="170"/>
    </row>
    <row r="2872" spans="1:2" x14ac:dyDescent="0.25">
      <c r="A2872" s="170"/>
      <c r="B2872" s="170"/>
    </row>
    <row r="2873" spans="1:2" x14ac:dyDescent="0.25">
      <c r="A2873" s="170"/>
      <c r="B2873" s="170"/>
    </row>
    <row r="2874" spans="1:2" x14ac:dyDescent="0.25">
      <c r="A2874" s="170"/>
      <c r="B2874" s="170"/>
    </row>
    <row r="2875" spans="1:2" x14ac:dyDescent="0.25">
      <c r="A2875" s="170"/>
      <c r="B2875" s="170"/>
    </row>
    <row r="2876" spans="1:2" x14ac:dyDescent="0.25">
      <c r="A2876" s="170"/>
      <c r="B2876" s="170"/>
    </row>
    <row r="2877" spans="1:2" x14ac:dyDescent="0.25">
      <c r="A2877" s="170"/>
      <c r="B2877" s="170"/>
    </row>
    <row r="2878" spans="1:2" x14ac:dyDescent="0.25">
      <c r="A2878" s="170"/>
      <c r="B2878" s="170"/>
    </row>
    <row r="2879" spans="1:2" x14ac:dyDescent="0.25">
      <c r="A2879" s="170"/>
      <c r="B2879" s="170"/>
    </row>
    <row r="2880" spans="1:2" x14ac:dyDescent="0.25">
      <c r="A2880" s="170"/>
      <c r="B2880" s="170"/>
    </row>
    <row r="2881" spans="1:2" x14ac:dyDescent="0.25">
      <c r="A2881" s="170"/>
      <c r="B2881" s="170"/>
    </row>
    <row r="2882" spans="1:2" x14ac:dyDescent="0.25">
      <c r="A2882" s="170"/>
      <c r="B2882" s="170"/>
    </row>
    <row r="2883" spans="1:2" x14ac:dyDescent="0.25">
      <c r="A2883" s="170"/>
      <c r="B2883" s="170"/>
    </row>
    <row r="2884" spans="1:2" x14ac:dyDescent="0.25">
      <c r="A2884" s="170"/>
      <c r="B2884" s="170"/>
    </row>
    <row r="2885" spans="1:2" x14ac:dyDescent="0.25">
      <c r="A2885" s="170"/>
      <c r="B2885" s="170"/>
    </row>
    <row r="2886" spans="1:2" x14ac:dyDescent="0.25">
      <c r="A2886" s="170"/>
      <c r="B2886" s="170"/>
    </row>
    <row r="2887" spans="1:2" x14ac:dyDescent="0.25">
      <c r="A2887" s="170"/>
      <c r="B2887" s="170"/>
    </row>
    <row r="2888" spans="1:2" x14ac:dyDescent="0.25">
      <c r="A2888" s="170"/>
      <c r="B2888" s="170"/>
    </row>
    <row r="2889" spans="1:2" x14ac:dyDescent="0.25">
      <c r="A2889" s="170"/>
      <c r="B2889" s="170"/>
    </row>
    <row r="2890" spans="1:2" x14ac:dyDescent="0.25">
      <c r="A2890" s="170"/>
      <c r="B2890" s="170"/>
    </row>
    <row r="2891" spans="1:2" x14ac:dyDescent="0.25">
      <c r="A2891" s="170"/>
      <c r="B2891" s="170"/>
    </row>
    <row r="2892" spans="1:2" x14ac:dyDescent="0.25">
      <c r="A2892" s="170"/>
      <c r="B2892" s="170"/>
    </row>
    <row r="2893" spans="1:2" x14ac:dyDescent="0.25">
      <c r="A2893" s="170"/>
      <c r="B2893" s="170"/>
    </row>
    <row r="2894" spans="1:2" x14ac:dyDescent="0.25">
      <c r="A2894" s="170"/>
      <c r="B2894" s="170"/>
    </row>
    <row r="2895" spans="1:2" x14ac:dyDescent="0.25">
      <c r="A2895" s="170"/>
      <c r="B2895" s="170"/>
    </row>
    <row r="2896" spans="1:2" x14ac:dyDescent="0.25">
      <c r="A2896" s="170"/>
      <c r="B2896" s="170"/>
    </row>
    <row r="2897" spans="1:2" x14ac:dyDescent="0.25">
      <c r="A2897" s="170"/>
      <c r="B2897" s="170"/>
    </row>
    <row r="2898" spans="1:2" x14ac:dyDescent="0.25">
      <c r="A2898" s="170"/>
      <c r="B2898" s="170"/>
    </row>
    <row r="2899" spans="1:2" x14ac:dyDescent="0.25">
      <c r="A2899" s="170"/>
      <c r="B2899" s="170"/>
    </row>
    <row r="2900" spans="1:2" x14ac:dyDescent="0.25">
      <c r="A2900" s="170"/>
      <c r="B2900" s="170"/>
    </row>
    <row r="2901" spans="1:2" x14ac:dyDescent="0.25">
      <c r="A2901" s="170"/>
      <c r="B2901" s="170"/>
    </row>
    <row r="2902" spans="1:2" x14ac:dyDescent="0.25">
      <c r="A2902" s="170"/>
      <c r="B2902" s="170"/>
    </row>
    <row r="2903" spans="1:2" x14ac:dyDescent="0.25">
      <c r="A2903" s="170"/>
      <c r="B2903" s="170"/>
    </row>
    <row r="2904" spans="1:2" x14ac:dyDescent="0.25">
      <c r="A2904" s="170"/>
      <c r="B2904" s="170"/>
    </row>
    <row r="2905" spans="1:2" x14ac:dyDescent="0.25">
      <c r="A2905" s="170"/>
      <c r="B2905" s="170"/>
    </row>
    <row r="2906" spans="1:2" x14ac:dyDescent="0.25">
      <c r="A2906" s="170"/>
      <c r="B2906" s="170"/>
    </row>
    <row r="2907" spans="1:2" x14ac:dyDescent="0.25">
      <c r="A2907" s="170"/>
      <c r="B2907" s="170"/>
    </row>
    <row r="2908" spans="1:2" x14ac:dyDescent="0.25">
      <c r="A2908" s="170"/>
      <c r="B2908" s="170"/>
    </row>
    <row r="2909" spans="1:2" x14ac:dyDescent="0.25">
      <c r="A2909" s="170"/>
      <c r="B2909" s="170"/>
    </row>
    <row r="2910" spans="1:2" x14ac:dyDescent="0.25">
      <c r="A2910" s="170"/>
      <c r="B2910" s="170"/>
    </row>
    <row r="2911" spans="1:2" x14ac:dyDescent="0.25">
      <c r="A2911" s="170"/>
      <c r="B2911" s="170"/>
    </row>
    <row r="2912" spans="1:2" x14ac:dyDescent="0.25">
      <c r="A2912" s="170"/>
      <c r="B2912" s="170"/>
    </row>
    <row r="2913" spans="1:2" x14ac:dyDescent="0.25">
      <c r="A2913" s="170"/>
      <c r="B2913" s="170"/>
    </row>
    <row r="2914" spans="1:2" x14ac:dyDescent="0.25">
      <c r="A2914" s="170"/>
      <c r="B2914" s="170"/>
    </row>
    <row r="2915" spans="1:2" x14ac:dyDescent="0.25">
      <c r="A2915" s="170"/>
      <c r="B2915" s="170"/>
    </row>
    <row r="2916" spans="1:2" x14ac:dyDescent="0.25">
      <c r="A2916" s="170"/>
      <c r="B2916" s="170"/>
    </row>
    <row r="2917" spans="1:2" x14ac:dyDescent="0.25">
      <c r="A2917" s="170"/>
      <c r="B2917" s="170"/>
    </row>
    <row r="2918" spans="1:2" x14ac:dyDescent="0.25">
      <c r="A2918" s="170"/>
      <c r="B2918" s="170"/>
    </row>
    <row r="2919" spans="1:2" x14ac:dyDescent="0.25">
      <c r="A2919" s="170"/>
      <c r="B2919" s="170"/>
    </row>
    <row r="2920" spans="1:2" x14ac:dyDescent="0.25">
      <c r="A2920" s="170"/>
      <c r="B2920" s="170"/>
    </row>
    <row r="2921" spans="1:2" x14ac:dyDescent="0.25">
      <c r="A2921" s="170"/>
      <c r="B2921" s="170"/>
    </row>
    <row r="2922" spans="1:2" x14ac:dyDescent="0.25">
      <c r="A2922" s="170"/>
      <c r="B2922" s="170"/>
    </row>
    <row r="2923" spans="1:2" x14ac:dyDescent="0.25">
      <c r="A2923" s="170"/>
      <c r="B2923" s="170"/>
    </row>
    <row r="2924" spans="1:2" x14ac:dyDescent="0.25">
      <c r="A2924" s="170"/>
      <c r="B2924" s="170"/>
    </row>
    <row r="2925" spans="1:2" x14ac:dyDescent="0.25">
      <c r="A2925" s="170"/>
      <c r="B2925" s="170"/>
    </row>
    <row r="2926" spans="1:2" x14ac:dyDescent="0.25">
      <c r="A2926" s="170"/>
      <c r="B2926" s="170"/>
    </row>
    <row r="2927" spans="1:2" x14ac:dyDescent="0.25">
      <c r="A2927" s="170"/>
      <c r="B2927" s="170"/>
    </row>
    <row r="2928" spans="1:2" x14ac:dyDescent="0.25">
      <c r="A2928" s="170"/>
      <c r="B2928" s="170"/>
    </row>
    <row r="2929" spans="1:2" x14ac:dyDescent="0.25">
      <c r="A2929" s="170"/>
      <c r="B2929" s="170"/>
    </row>
    <row r="2930" spans="1:2" x14ac:dyDescent="0.25">
      <c r="A2930" s="170"/>
      <c r="B2930" s="170"/>
    </row>
    <row r="2931" spans="1:2" x14ac:dyDescent="0.25">
      <c r="A2931" s="170"/>
      <c r="B2931" s="170"/>
    </row>
    <row r="2932" spans="1:2" x14ac:dyDescent="0.25">
      <c r="A2932" s="170"/>
      <c r="B2932" s="170"/>
    </row>
    <row r="2933" spans="1:2" x14ac:dyDescent="0.25">
      <c r="A2933" s="170"/>
      <c r="B2933" s="170"/>
    </row>
    <row r="2934" spans="1:2" x14ac:dyDescent="0.25">
      <c r="A2934" s="170"/>
      <c r="B2934" s="170"/>
    </row>
    <row r="2935" spans="1:2" x14ac:dyDescent="0.25">
      <c r="A2935" s="170"/>
      <c r="B2935" s="170"/>
    </row>
    <row r="2936" spans="1:2" x14ac:dyDescent="0.25">
      <c r="A2936" s="170"/>
      <c r="B2936" s="170"/>
    </row>
    <row r="2937" spans="1:2" x14ac:dyDescent="0.25">
      <c r="A2937" s="170"/>
      <c r="B2937" s="170"/>
    </row>
    <row r="2938" spans="1:2" x14ac:dyDescent="0.25">
      <c r="A2938" s="170"/>
      <c r="B2938" s="170"/>
    </row>
    <row r="2939" spans="1:2" x14ac:dyDescent="0.25">
      <c r="A2939" s="170"/>
      <c r="B2939" s="170"/>
    </row>
    <row r="2940" spans="1:2" x14ac:dyDescent="0.25">
      <c r="A2940" s="170"/>
      <c r="B2940" s="170"/>
    </row>
    <row r="2941" spans="1:2" x14ac:dyDescent="0.25">
      <c r="A2941" s="170"/>
      <c r="B2941" s="170"/>
    </row>
    <row r="2942" spans="1:2" x14ac:dyDescent="0.25">
      <c r="A2942" s="170"/>
      <c r="B2942" s="170"/>
    </row>
    <row r="2943" spans="1:2" x14ac:dyDescent="0.25">
      <c r="A2943" s="170"/>
      <c r="B2943" s="170"/>
    </row>
    <row r="2944" spans="1:2" x14ac:dyDescent="0.25">
      <c r="A2944" s="170"/>
      <c r="B2944" s="170"/>
    </row>
    <row r="2945" spans="1:2" x14ac:dyDescent="0.25">
      <c r="A2945" s="170"/>
      <c r="B2945" s="170"/>
    </row>
    <row r="2946" spans="1:2" x14ac:dyDescent="0.25">
      <c r="A2946" s="170"/>
      <c r="B2946" s="170"/>
    </row>
    <row r="2947" spans="1:2" x14ac:dyDescent="0.25">
      <c r="A2947" s="170"/>
      <c r="B2947" s="170"/>
    </row>
    <row r="2948" spans="1:2" x14ac:dyDescent="0.25">
      <c r="A2948" s="170"/>
      <c r="B2948" s="170"/>
    </row>
    <row r="2949" spans="1:2" x14ac:dyDescent="0.25">
      <c r="A2949" s="170"/>
      <c r="B2949" s="170"/>
    </row>
    <row r="2950" spans="1:2" x14ac:dyDescent="0.25">
      <c r="A2950" s="170"/>
      <c r="B2950" s="170"/>
    </row>
    <row r="2951" spans="1:2" x14ac:dyDescent="0.25">
      <c r="A2951" s="170"/>
      <c r="B2951" s="170"/>
    </row>
    <row r="2952" spans="1:2" x14ac:dyDescent="0.25">
      <c r="A2952" s="170"/>
      <c r="B2952" s="170"/>
    </row>
    <row r="2953" spans="1:2" x14ac:dyDescent="0.25">
      <c r="A2953" s="170"/>
      <c r="B2953" s="170"/>
    </row>
    <row r="2954" spans="1:2" x14ac:dyDescent="0.25">
      <c r="A2954" s="170"/>
      <c r="B2954" s="170"/>
    </row>
    <row r="2955" spans="1:2" x14ac:dyDescent="0.25">
      <c r="A2955" s="170"/>
      <c r="B2955" s="170"/>
    </row>
    <row r="2956" spans="1:2" x14ac:dyDescent="0.25">
      <c r="A2956" s="170"/>
      <c r="B2956" s="170"/>
    </row>
    <row r="2957" spans="1:2" x14ac:dyDescent="0.25">
      <c r="A2957" s="170"/>
      <c r="B2957" s="170"/>
    </row>
    <row r="2958" spans="1:2" x14ac:dyDescent="0.25">
      <c r="A2958" s="170"/>
      <c r="B2958" s="170"/>
    </row>
    <row r="2959" spans="1:2" x14ac:dyDescent="0.25">
      <c r="A2959" s="170"/>
      <c r="B2959" s="170"/>
    </row>
    <row r="2960" spans="1:2" x14ac:dyDescent="0.25">
      <c r="A2960" s="170"/>
      <c r="B2960" s="170"/>
    </row>
    <row r="2961" spans="1:2" x14ac:dyDescent="0.25">
      <c r="A2961" s="170"/>
      <c r="B2961" s="170"/>
    </row>
    <row r="2962" spans="1:2" x14ac:dyDescent="0.25">
      <c r="A2962" s="170"/>
      <c r="B2962" s="170"/>
    </row>
    <row r="2963" spans="1:2" x14ac:dyDescent="0.25">
      <c r="A2963" s="170"/>
      <c r="B2963" s="170"/>
    </row>
    <row r="2964" spans="1:2" x14ac:dyDescent="0.25">
      <c r="A2964" s="170"/>
      <c r="B2964" s="170"/>
    </row>
    <row r="2965" spans="1:2" x14ac:dyDescent="0.25">
      <c r="A2965" s="170"/>
      <c r="B2965" s="170"/>
    </row>
    <row r="2966" spans="1:2" x14ac:dyDescent="0.25">
      <c r="A2966" s="170"/>
      <c r="B2966" s="170"/>
    </row>
    <row r="2967" spans="1:2" x14ac:dyDescent="0.25">
      <c r="A2967" s="170"/>
      <c r="B2967" s="170"/>
    </row>
    <row r="2968" spans="1:2" x14ac:dyDescent="0.25">
      <c r="A2968" s="170"/>
      <c r="B2968" s="170"/>
    </row>
    <row r="2969" spans="1:2" x14ac:dyDescent="0.25">
      <c r="A2969" s="170"/>
      <c r="B2969" s="170"/>
    </row>
    <row r="2970" spans="1:2" x14ac:dyDescent="0.25">
      <c r="A2970" s="170"/>
      <c r="B2970" s="170"/>
    </row>
    <row r="2971" spans="1:2" x14ac:dyDescent="0.25">
      <c r="A2971" s="170"/>
      <c r="B2971" s="170"/>
    </row>
    <row r="2972" spans="1:2" x14ac:dyDescent="0.25">
      <c r="A2972" s="170"/>
      <c r="B2972" s="170"/>
    </row>
    <row r="2973" spans="1:2" x14ac:dyDescent="0.25">
      <c r="A2973" s="170"/>
      <c r="B2973" s="170"/>
    </row>
    <row r="2974" spans="1:2" x14ac:dyDescent="0.25">
      <c r="A2974" s="170"/>
      <c r="B2974" s="170"/>
    </row>
    <row r="2975" spans="1:2" x14ac:dyDescent="0.25">
      <c r="A2975" s="170"/>
      <c r="B2975" s="170"/>
    </row>
    <row r="2976" spans="1:2" x14ac:dyDescent="0.25">
      <c r="A2976" s="170"/>
      <c r="B2976" s="170"/>
    </row>
    <row r="2977" spans="1:2" x14ac:dyDescent="0.25">
      <c r="A2977" s="170"/>
      <c r="B2977" s="170"/>
    </row>
    <row r="2978" spans="1:2" x14ac:dyDescent="0.25">
      <c r="A2978" s="170"/>
      <c r="B2978" s="170"/>
    </row>
    <row r="2979" spans="1:2" x14ac:dyDescent="0.25">
      <c r="A2979" s="170"/>
      <c r="B2979" s="170"/>
    </row>
    <row r="2980" spans="1:2" x14ac:dyDescent="0.25">
      <c r="A2980" s="170"/>
      <c r="B2980" s="170"/>
    </row>
    <row r="2981" spans="1:2" x14ac:dyDescent="0.25">
      <c r="A2981" s="170"/>
      <c r="B2981" s="170"/>
    </row>
    <row r="2982" spans="1:2" x14ac:dyDescent="0.25">
      <c r="A2982" s="170"/>
      <c r="B2982" s="170"/>
    </row>
    <row r="2983" spans="1:2" x14ac:dyDescent="0.25">
      <c r="A2983" s="170"/>
      <c r="B2983" s="170"/>
    </row>
    <row r="2984" spans="1:2" x14ac:dyDescent="0.25">
      <c r="A2984" s="170"/>
      <c r="B2984" s="170"/>
    </row>
    <row r="2985" spans="1:2" x14ac:dyDescent="0.25">
      <c r="A2985" s="170"/>
      <c r="B2985" s="170"/>
    </row>
    <row r="2986" spans="1:2" x14ac:dyDescent="0.25">
      <c r="A2986" s="170"/>
      <c r="B2986" s="170"/>
    </row>
    <row r="2987" spans="1:2" x14ac:dyDescent="0.25">
      <c r="A2987" s="170"/>
      <c r="B2987" s="170"/>
    </row>
    <row r="2988" spans="1:2" x14ac:dyDescent="0.25">
      <c r="A2988" s="170"/>
      <c r="B2988" s="170"/>
    </row>
    <row r="2989" spans="1:2" x14ac:dyDescent="0.25">
      <c r="A2989" s="170"/>
      <c r="B2989" s="170"/>
    </row>
    <row r="2990" spans="1:2" x14ac:dyDescent="0.25">
      <c r="A2990" s="170"/>
      <c r="B2990" s="170"/>
    </row>
    <row r="2991" spans="1:2" x14ac:dyDescent="0.25">
      <c r="A2991" s="170"/>
      <c r="B2991" s="170"/>
    </row>
    <row r="2992" spans="1:2" x14ac:dyDescent="0.25">
      <c r="A2992" s="170"/>
      <c r="B2992" s="170"/>
    </row>
    <row r="2993" spans="1:2" x14ac:dyDescent="0.25">
      <c r="A2993" s="170"/>
      <c r="B2993" s="170"/>
    </row>
    <row r="2994" spans="1:2" x14ac:dyDescent="0.25">
      <c r="A2994" s="170"/>
      <c r="B2994" s="170"/>
    </row>
    <row r="2995" spans="1:2" x14ac:dyDescent="0.25">
      <c r="A2995" s="170"/>
      <c r="B2995" s="170"/>
    </row>
    <row r="2996" spans="1:2" x14ac:dyDescent="0.25">
      <c r="A2996" s="170"/>
      <c r="B2996" s="170"/>
    </row>
    <row r="2997" spans="1:2" x14ac:dyDescent="0.25">
      <c r="A2997" s="170"/>
      <c r="B2997" s="170"/>
    </row>
    <row r="2998" spans="1:2" x14ac:dyDescent="0.25">
      <c r="A2998" s="170"/>
      <c r="B2998" s="170"/>
    </row>
    <row r="2999" spans="1:2" x14ac:dyDescent="0.25">
      <c r="A2999" s="170"/>
      <c r="B2999" s="170"/>
    </row>
    <row r="3000" spans="1:2" x14ac:dyDescent="0.25">
      <c r="A3000" s="170"/>
      <c r="B3000" s="170"/>
    </row>
    <row r="3001" spans="1:2" x14ac:dyDescent="0.25">
      <c r="A3001" s="170"/>
      <c r="B3001" s="170"/>
    </row>
    <row r="3002" spans="1:2" x14ac:dyDescent="0.25">
      <c r="A3002" s="170"/>
      <c r="B3002" s="170"/>
    </row>
    <row r="3003" spans="1:2" x14ac:dyDescent="0.25">
      <c r="A3003" s="170"/>
      <c r="B3003" s="170"/>
    </row>
    <row r="3004" spans="1:2" x14ac:dyDescent="0.25">
      <c r="A3004" s="170"/>
      <c r="B3004" s="170"/>
    </row>
    <row r="3005" spans="1:2" x14ac:dyDescent="0.25">
      <c r="A3005" s="170"/>
      <c r="B3005" s="170"/>
    </row>
    <row r="3006" spans="1:2" x14ac:dyDescent="0.25">
      <c r="A3006" s="170"/>
      <c r="B3006" s="170"/>
    </row>
    <row r="3007" spans="1:2" x14ac:dyDescent="0.25">
      <c r="A3007" s="170"/>
      <c r="B3007" s="170"/>
    </row>
    <row r="3008" spans="1:2" x14ac:dyDescent="0.25">
      <c r="A3008" s="170"/>
      <c r="B3008" s="170"/>
    </row>
    <row r="3009" spans="1:2" x14ac:dyDescent="0.25">
      <c r="A3009" s="170"/>
      <c r="B3009" s="170"/>
    </row>
    <row r="3010" spans="1:2" x14ac:dyDescent="0.25">
      <c r="A3010" s="170"/>
      <c r="B3010" s="170"/>
    </row>
    <row r="3011" spans="1:2" x14ac:dyDescent="0.25">
      <c r="A3011" s="170"/>
      <c r="B3011" s="170"/>
    </row>
    <row r="3012" spans="1:2" x14ac:dyDescent="0.25">
      <c r="A3012" s="170"/>
      <c r="B3012" s="170"/>
    </row>
    <row r="3013" spans="1:2" x14ac:dyDescent="0.25">
      <c r="A3013" s="170"/>
      <c r="B3013" s="170"/>
    </row>
    <row r="3014" spans="1:2" x14ac:dyDescent="0.25">
      <c r="A3014" s="170"/>
      <c r="B3014" s="170"/>
    </row>
    <row r="3015" spans="1:2" x14ac:dyDescent="0.25">
      <c r="A3015" s="170"/>
      <c r="B3015" s="170"/>
    </row>
    <row r="3016" spans="1:2" x14ac:dyDescent="0.25">
      <c r="A3016" s="170"/>
      <c r="B3016" s="170"/>
    </row>
    <row r="3017" spans="1:2" x14ac:dyDescent="0.25">
      <c r="A3017" s="170"/>
      <c r="B3017" s="170"/>
    </row>
    <row r="3018" spans="1:2" x14ac:dyDescent="0.25">
      <c r="A3018" s="170"/>
      <c r="B3018" s="170"/>
    </row>
    <row r="3019" spans="1:2" x14ac:dyDescent="0.25">
      <c r="A3019" s="170"/>
      <c r="B3019" s="170"/>
    </row>
    <row r="3020" spans="1:2" x14ac:dyDescent="0.25">
      <c r="A3020" s="170"/>
      <c r="B3020" s="170"/>
    </row>
    <row r="3021" spans="1:2" x14ac:dyDescent="0.25">
      <c r="A3021" s="170"/>
      <c r="B3021" s="170"/>
    </row>
    <row r="3022" spans="1:2" x14ac:dyDescent="0.25">
      <c r="A3022" s="170"/>
      <c r="B3022" s="170"/>
    </row>
    <row r="3023" spans="1:2" x14ac:dyDescent="0.25">
      <c r="A3023" s="170"/>
      <c r="B3023" s="170"/>
    </row>
    <row r="3024" spans="1:2" x14ac:dyDescent="0.25">
      <c r="A3024" s="170"/>
      <c r="B3024" s="170"/>
    </row>
    <row r="3025" spans="1:2" x14ac:dyDescent="0.25">
      <c r="A3025" s="170"/>
      <c r="B3025" s="170"/>
    </row>
    <row r="3026" spans="1:2" x14ac:dyDescent="0.25">
      <c r="A3026" s="170"/>
      <c r="B3026" s="170"/>
    </row>
    <row r="3027" spans="1:2" x14ac:dyDescent="0.25">
      <c r="A3027" s="170"/>
      <c r="B3027" s="170"/>
    </row>
    <row r="3028" spans="1:2" x14ac:dyDescent="0.25">
      <c r="A3028" s="170"/>
      <c r="B3028" s="170"/>
    </row>
    <row r="3029" spans="1:2" x14ac:dyDescent="0.25">
      <c r="A3029" s="170"/>
      <c r="B3029" s="170"/>
    </row>
    <row r="3030" spans="1:2" x14ac:dyDescent="0.25">
      <c r="A3030" s="170"/>
      <c r="B3030" s="170"/>
    </row>
    <row r="3031" spans="1:2" x14ac:dyDescent="0.25">
      <c r="A3031" s="170"/>
      <c r="B3031" s="170"/>
    </row>
    <row r="3032" spans="1:2" x14ac:dyDescent="0.25">
      <c r="A3032" s="170"/>
      <c r="B3032" s="170"/>
    </row>
    <row r="3033" spans="1:2" x14ac:dyDescent="0.25">
      <c r="A3033" s="170"/>
      <c r="B3033" s="170"/>
    </row>
    <row r="3034" spans="1:2" x14ac:dyDescent="0.25">
      <c r="A3034" s="170"/>
      <c r="B3034" s="170"/>
    </row>
    <row r="3035" spans="1:2" x14ac:dyDescent="0.25">
      <c r="A3035" s="170"/>
      <c r="B3035" s="170"/>
    </row>
    <row r="3036" spans="1:2" x14ac:dyDescent="0.25">
      <c r="A3036" s="170"/>
      <c r="B3036" s="170"/>
    </row>
    <row r="3037" spans="1:2" x14ac:dyDescent="0.25">
      <c r="A3037" s="170"/>
      <c r="B3037" s="170"/>
    </row>
    <row r="3038" spans="1:2" x14ac:dyDescent="0.25">
      <c r="A3038" s="170"/>
      <c r="B3038" s="170"/>
    </row>
    <row r="3039" spans="1:2" x14ac:dyDescent="0.25">
      <c r="A3039" s="170"/>
      <c r="B3039" s="170"/>
    </row>
    <row r="3040" spans="1:2" x14ac:dyDescent="0.25">
      <c r="A3040" s="170"/>
      <c r="B3040" s="170"/>
    </row>
    <row r="3041" spans="1:2" x14ac:dyDescent="0.25">
      <c r="A3041" s="170"/>
      <c r="B3041" s="170"/>
    </row>
    <row r="3042" spans="1:2" x14ac:dyDescent="0.25">
      <c r="A3042" s="170"/>
      <c r="B3042" s="170"/>
    </row>
    <row r="3043" spans="1:2" x14ac:dyDescent="0.25">
      <c r="A3043" s="170"/>
      <c r="B3043" s="170"/>
    </row>
    <row r="3044" spans="1:2" x14ac:dyDescent="0.25">
      <c r="A3044" s="170"/>
      <c r="B3044" s="170"/>
    </row>
    <row r="3045" spans="1:2" x14ac:dyDescent="0.25">
      <c r="A3045" s="170"/>
      <c r="B3045" s="170"/>
    </row>
    <row r="3046" spans="1:2" x14ac:dyDescent="0.25">
      <c r="A3046" s="170"/>
      <c r="B3046" s="170"/>
    </row>
    <row r="3047" spans="1:2" x14ac:dyDescent="0.25">
      <c r="A3047" s="170"/>
      <c r="B3047" s="170"/>
    </row>
    <row r="3048" spans="1:2" x14ac:dyDescent="0.25">
      <c r="A3048" s="170"/>
      <c r="B3048" s="170"/>
    </row>
    <row r="3049" spans="1:2" x14ac:dyDescent="0.25">
      <c r="A3049" s="170"/>
      <c r="B3049" s="170"/>
    </row>
    <row r="3050" spans="1:2" x14ac:dyDescent="0.25">
      <c r="A3050" s="170"/>
      <c r="B3050" s="170"/>
    </row>
    <row r="3051" spans="1:2" x14ac:dyDescent="0.25">
      <c r="A3051" s="170"/>
      <c r="B3051" s="170"/>
    </row>
    <row r="3052" spans="1:2" x14ac:dyDescent="0.25">
      <c r="A3052" s="170"/>
      <c r="B3052" s="170"/>
    </row>
    <row r="3053" spans="1:2" x14ac:dyDescent="0.25">
      <c r="A3053" s="170"/>
      <c r="B3053" s="170"/>
    </row>
    <row r="3054" spans="1:2" x14ac:dyDescent="0.25">
      <c r="A3054" s="170"/>
      <c r="B3054" s="170"/>
    </row>
    <row r="3055" spans="1:2" x14ac:dyDescent="0.25">
      <c r="A3055" s="170"/>
      <c r="B3055" s="170"/>
    </row>
    <row r="3056" spans="1:2" x14ac:dyDescent="0.25">
      <c r="A3056" s="170"/>
      <c r="B3056" s="170"/>
    </row>
    <row r="3057" spans="1:2" x14ac:dyDescent="0.25">
      <c r="A3057" s="170"/>
      <c r="B3057" s="170"/>
    </row>
    <row r="3058" spans="1:2" x14ac:dyDescent="0.25">
      <c r="A3058" s="170"/>
      <c r="B3058" s="170"/>
    </row>
    <row r="3059" spans="1:2" x14ac:dyDescent="0.25">
      <c r="A3059" s="170"/>
      <c r="B3059" s="170"/>
    </row>
    <row r="3060" spans="1:2" x14ac:dyDescent="0.25">
      <c r="A3060" s="170"/>
      <c r="B3060" s="170"/>
    </row>
    <row r="3061" spans="1:2" x14ac:dyDescent="0.25">
      <c r="A3061" s="170"/>
      <c r="B3061" s="170"/>
    </row>
    <row r="3062" spans="1:2" x14ac:dyDescent="0.25">
      <c r="A3062" s="170"/>
      <c r="B3062" s="170"/>
    </row>
    <row r="3063" spans="1:2" x14ac:dyDescent="0.25">
      <c r="A3063" s="170"/>
      <c r="B3063" s="170"/>
    </row>
    <row r="3064" spans="1:2" x14ac:dyDescent="0.25">
      <c r="A3064" s="170"/>
      <c r="B3064" s="170"/>
    </row>
    <row r="3065" spans="1:2" x14ac:dyDescent="0.25">
      <c r="A3065" s="170"/>
      <c r="B3065" s="170"/>
    </row>
    <row r="3066" spans="1:2" x14ac:dyDescent="0.25">
      <c r="A3066" s="170"/>
      <c r="B3066" s="170"/>
    </row>
    <row r="3067" spans="1:2" x14ac:dyDescent="0.25">
      <c r="A3067" s="170"/>
      <c r="B3067" s="170"/>
    </row>
    <row r="3068" spans="1:2" x14ac:dyDescent="0.25">
      <c r="A3068" s="170"/>
      <c r="B3068" s="170"/>
    </row>
    <row r="3069" spans="1:2" x14ac:dyDescent="0.25">
      <c r="A3069" s="170"/>
      <c r="B3069" s="170"/>
    </row>
    <row r="3070" spans="1:2" x14ac:dyDescent="0.25">
      <c r="A3070" s="170"/>
      <c r="B3070" s="170"/>
    </row>
    <row r="3071" spans="1:2" x14ac:dyDescent="0.25">
      <c r="A3071" s="170"/>
      <c r="B3071" s="170"/>
    </row>
    <row r="3072" spans="1:2" x14ac:dyDescent="0.25">
      <c r="A3072" s="170"/>
      <c r="B3072" s="170"/>
    </row>
    <row r="3073" spans="1:2" x14ac:dyDescent="0.25">
      <c r="A3073" s="170"/>
      <c r="B3073" s="170"/>
    </row>
    <row r="3074" spans="1:2" x14ac:dyDescent="0.25">
      <c r="A3074" s="170"/>
      <c r="B3074" s="170"/>
    </row>
    <row r="3075" spans="1:2" x14ac:dyDescent="0.25">
      <c r="A3075" s="170"/>
      <c r="B3075" s="170"/>
    </row>
    <row r="3076" spans="1:2" x14ac:dyDescent="0.25">
      <c r="A3076" s="170"/>
      <c r="B3076" s="170"/>
    </row>
    <row r="3077" spans="1:2" x14ac:dyDescent="0.25">
      <c r="A3077" s="170"/>
      <c r="B3077" s="170"/>
    </row>
    <row r="3078" spans="1:2" x14ac:dyDescent="0.25">
      <c r="A3078" s="170"/>
      <c r="B3078" s="170"/>
    </row>
    <row r="3079" spans="1:2" x14ac:dyDescent="0.25">
      <c r="A3079" s="170"/>
      <c r="B3079" s="170"/>
    </row>
    <row r="3080" spans="1:2" x14ac:dyDescent="0.25">
      <c r="A3080" s="170"/>
      <c r="B3080" s="170"/>
    </row>
    <row r="3081" spans="1:2" x14ac:dyDescent="0.25">
      <c r="A3081" s="170"/>
      <c r="B3081" s="170"/>
    </row>
    <row r="3082" spans="1:2" x14ac:dyDescent="0.25">
      <c r="A3082" s="170"/>
      <c r="B3082" s="170"/>
    </row>
    <row r="3083" spans="1:2" x14ac:dyDescent="0.25">
      <c r="A3083" s="170"/>
      <c r="B3083" s="170"/>
    </row>
    <row r="3084" spans="1:2" x14ac:dyDescent="0.25">
      <c r="A3084" s="170"/>
      <c r="B3084" s="170"/>
    </row>
    <row r="3085" spans="1:2" x14ac:dyDescent="0.25">
      <c r="A3085" s="170"/>
      <c r="B3085" s="170"/>
    </row>
    <row r="3086" spans="1:2" x14ac:dyDescent="0.25">
      <c r="A3086" s="170"/>
      <c r="B3086" s="170"/>
    </row>
    <row r="3087" spans="1:2" x14ac:dyDescent="0.25">
      <c r="A3087" s="170"/>
      <c r="B3087" s="170"/>
    </row>
    <row r="3088" spans="1:2" x14ac:dyDescent="0.25">
      <c r="A3088" s="170"/>
      <c r="B3088" s="170"/>
    </row>
    <row r="3089" spans="1:2" x14ac:dyDescent="0.25">
      <c r="A3089" s="170"/>
      <c r="B3089" s="170"/>
    </row>
    <row r="3090" spans="1:2" x14ac:dyDescent="0.25">
      <c r="A3090" s="170"/>
      <c r="B3090" s="170"/>
    </row>
    <row r="3091" spans="1:2" x14ac:dyDescent="0.25">
      <c r="A3091" s="170"/>
      <c r="B3091" s="170"/>
    </row>
    <row r="3092" spans="1:2" x14ac:dyDescent="0.25">
      <c r="A3092" s="170"/>
      <c r="B3092" s="170"/>
    </row>
    <row r="3093" spans="1:2" x14ac:dyDescent="0.25">
      <c r="A3093" s="170"/>
      <c r="B3093" s="170"/>
    </row>
    <row r="3094" spans="1:2" x14ac:dyDescent="0.25">
      <c r="A3094" s="170"/>
      <c r="B3094" s="170"/>
    </row>
    <row r="3095" spans="1:2" x14ac:dyDescent="0.25">
      <c r="A3095" s="170"/>
      <c r="B3095" s="170"/>
    </row>
    <row r="3096" spans="1:2" x14ac:dyDescent="0.25">
      <c r="A3096" s="170"/>
      <c r="B3096" s="170"/>
    </row>
    <row r="3097" spans="1:2" x14ac:dyDescent="0.25">
      <c r="A3097" s="170"/>
      <c r="B3097" s="170"/>
    </row>
    <row r="3098" spans="1:2" x14ac:dyDescent="0.25">
      <c r="A3098" s="170"/>
      <c r="B3098" s="170"/>
    </row>
    <row r="3099" spans="1:2" x14ac:dyDescent="0.25">
      <c r="A3099" s="170"/>
      <c r="B3099" s="170"/>
    </row>
    <row r="3100" spans="1:2" x14ac:dyDescent="0.25">
      <c r="A3100" s="170"/>
      <c r="B3100" s="170"/>
    </row>
    <row r="3101" spans="1:2" x14ac:dyDescent="0.25">
      <c r="A3101" s="170"/>
      <c r="B3101" s="170"/>
    </row>
    <row r="3102" spans="1:2" x14ac:dyDescent="0.25">
      <c r="A3102" s="170"/>
      <c r="B3102" s="170"/>
    </row>
    <row r="3103" spans="1:2" x14ac:dyDescent="0.25">
      <c r="A3103" s="170"/>
      <c r="B3103" s="170"/>
    </row>
    <row r="3104" spans="1:2" x14ac:dyDescent="0.25">
      <c r="A3104" s="170"/>
      <c r="B3104" s="170"/>
    </row>
    <row r="3105" spans="1:2" x14ac:dyDescent="0.25">
      <c r="A3105" s="170"/>
      <c r="B3105" s="170"/>
    </row>
    <row r="3106" spans="1:2" x14ac:dyDescent="0.25">
      <c r="A3106" s="170"/>
      <c r="B3106" s="170"/>
    </row>
    <row r="3107" spans="1:2" x14ac:dyDescent="0.25">
      <c r="A3107" s="170"/>
      <c r="B3107" s="170"/>
    </row>
    <row r="3108" spans="1:2" x14ac:dyDescent="0.25">
      <c r="A3108" s="170"/>
      <c r="B3108" s="170"/>
    </row>
    <row r="3109" spans="1:2" x14ac:dyDescent="0.25">
      <c r="A3109" s="170"/>
      <c r="B3109" s="170"/>
    </row>
    <row r="3110" spans="1:2" x14ac:dyDescent="0.25">
      <c r="A3110" s="170"/>
      <c r="B3110" s="170"/>
    </row>
    <row r="3111" spans="1:2" x14ac:dyDescent="0.25">
      <c r="A3111" s="170"/>
      <c r="B3111" s="170"/>
    </row>
    <row r="3112" spans="1:2" x14ac:dyDescent="0.25">
      <c r="A3112" s="170"/>
      <c r="B3112" s="170"/>
    </row>
    <row r="3113" spans="1:2" x14ac:dyDescent="0.25">
      <c r="A3113" s="170"/>
      <c r="B3113" s="170"/>
    </row>
    <row r="3114" spans="1:2" x14ac:dyDescent="0.25">
      <c r="A3114" s="170"/>
      <c r="B3114" s="170"/>
    </row>
    <row r="3115" spans="1:2" x14ac:dyDescent="0.25">
      <c r="A3115" s="170"/>
      <c r="B3115" s="170"/>
    </row>
    <row r="3116" spans="1:2" x14ac:dyDescent="0.25">
      <c r="A3116" s="170"/>
      <c r="B3116" s="170"/>
    </row>
    <row r="3117" spans="1:2" x14ac:dyDescent="0.25">
      <c r="A3117" s="170"/>
      <c r="B3117" s="170"/>
    </row>
    <row r="3118" spans="1:2" x14ac:dyDescent="0.25">
      <c r="A3118" s="170"/>
      <c r="B3118" s="170"/>
    </row>
    <row r="3119" spans="1:2" x14ac:dyDescent="0.25">
      <c r="A3119" s="170"/>
      <c r="B3119" s="170"/>
    </row>
    <row r="3120" spans="1:2" x14ac:dyDescent="0.25">
      <c r="A3120" s="170"/>
      <c r="B3120" s="170"/>
    </row>
    <row r="3121" spans="1:2" x14ac:dyDescent="0.25">
      <c r="A3121" s="170"/>
      <c r="B3121" s="170"/>
    </row>
    <row r="3122" spans="1:2" x14ac:dyDescent="0.25">
      <c r="A3122" s="170"/>
      <c r="B3122" s="170"/>
    </row>
    <row r="3123" spans="1:2" x14ac:dyDescent="0.25">
      <c r="A3123" s="170"/>
      <c r="B3123" s="170"/>
    </row>
    <row r="3124" spans="1:2" x14ac:dyDescent="0.25">
      <c r="A3124" s="170"/>
      <c r="B3124" s="170"/>
    </row>
    <row r="3125" spans="1:2" x14ac:dyDescent="0.25">
      <c r="A3125" s="170"/>
      <c r="B3125" s="170"/>
    </row>
    <row r="3126" spans="1:2" x14ac:dyDescent="0.25">
      <c r="A3126" s="170"/>
      <c r="B3126" s="170"/>
    </row>
    <row r="3127" spans="1:2" x14ac:dyDescent="0.25">
      <c r="A3127" s="170"/>
      <c r="B3127" s="170"/>
    </row>
    <row r="3128" spans="1:2" x14ac:dyDescent="0.25">
      <c r="A3128" s="170"/>
      <c r="B3128" s="170"/>
    </row>
    <row r="3129" spans="1:2" x14ac:dyDescent="0.25">
      <c r="A3129" s="170"/>
      <c r="B3129" s="170"/>
    </row>
    <row r="3130" spans="1:2" x14ac:dyDescent="0.25">
      <c r="A3130" s="170"/>
      <c r="B3130" s="170"/>
    </row>
    <row r="3131" spans="1:2" x14ac:dyDescent="0.25">
      <c r="A3131" s="170"/>
      <c r="B3131" s="170"/>
    </row>
    <row r="3132" spans="1:2" x14ac:dyDescent="0.25">
      <c r="A3132" s="170"/>
      <c r="B3132" s="170"/>
    </row>
    <row r="3133" spans="1:2" x14ac:dyDescent="0.25">
      <c r="A3133" s="170"/>
      <c r="B3133" s="170"/>
    </row>
    <row r="3134" spans="1:2" x14ac:dyDescent="0.25">
      <c r="A3134" s="170"/>
      <c r="B3134" s="170"/>
    </row>
    <row r="3135" spans="1:2" x14ac:dyDescent="0.25">
      <c r="A3135" s="170"/>
      <c r="B3135" s="170"/>
    </row>
    <row r="3136" spans="1:2" x14ac:dyDescent="0.25">
      <c r="A3136" s="170"/>
      <c r="B3136" s="170"/>
    </row>
    <row r="3137" spans="1:2" x14ac:dyDescent="0.25">
      <c r="A3137" s="170"/>
      <c r="B3137" s="170"/>
    </row>
    <row r="3138" spans="1:2" x14ac:dyDescent="0.25">
      <c r="A3138" s="170"/>
      <c r="B3138" s="170"/>
    </row>
    <row r="3139" spans="1:2" x14ac:dyDescent="0.25">
      <c r="A3139" s="170"/>
      <c r="B3139" s="170"/>
    </row>
    <row r="3140" spans="1:2" x14ac:dyDescent="0.25">
      <c r="A3140" s="170"/>
      <c r="B3140" s="170"/>
    </row>
    <row r="3141" spans="1:2" x14ac:dyDescent="0.25">
      <c r="A3141" s="170"/>
      <c r="B3141" s="170"/>
    </row>
    <row r="3142" spans="1:2" x14ac:dyDescent="0.25">
      <c r="A3142" s="170"/>
      <c r="B3142" s="170"/>
    </row>
    <row r="3143" spans="1:2" x14ac:dyDescent="0.25">
      <c r="A3143" s="170"/>
      <c r="B3143" s="170"/>
    </row>
    <row r="3144" spans="1:2" x14ac:dyDescent="0.25">
      <c r="A3144" s="170"/>
      <c r="B3144" s="170"/>
    </row>
    <row r="3145" spans="1:2" x14ac:dyDescent="0.25">
      <c r="A3145" s="170"/>
      <c r="B3145" s="170"/>
    </row>
    <row r="3146" spans="1:2" x14ac:dyDescent="0.25">
      <c r="A3146" s="170"/>
      <c r="B3146" s="170"/>
    </row>
    <row r="3147" spans="1:2" x14ac:dyDescent="0.25">
      <c r="A3147" s="170"/>
      <c r="B3147" s="170"/>
    </row>
    <row r="3148" spans="1:2" x14ac:dyDescent="0.25">
      <c r="A3148" s="170"/>
      <c r="B3148" s="170"/>
    </row>
    <row r="3149" spans="1:2" x14ac:dyDescent="0.25">
      <c r="A3149" s="170"/>
      <c r="B3149" s="170"/>
    </row>
    <row r="3150" spans="1:2" x14ac:dyDescent="0.25">
      <c r="A3150" s="170"/>
      <c r="B3150" s="170"/>
    </row>
    <row r="3151" spans="1:2" x14ac:dyDescent="0.25">
      <c r="A3151" s="170"/>
      <c r="B3151" s="170"/>
    </row>
    <row r="3152" spans="1:2" x14ac:dyDescent="0.25">
      <c r="A3152" s="170"/>
      <c r="B3152" s="170"/>
    </row>
    <row r="3153" spans="1:2" x14ac:dyDescent="0.25">
      <c r="A3153" s="170"/>
      <c r="B3153" s="170"/>
    </row>
    <row r="3154" spans="1:2" x14ac:dyDescent="0.25">
      <c r="A3154" s="170"/>
      <c r="B3154" s="170"/>
    </row>
    <row r="3155" spans="1:2" x14ac:dyDescent="0.25">
      <c r="A3155" s="170"/>
      <c r="B3155" s="170"/>
    </row>
    <row r="3156" spans="1:2" x14ac:dyDescent="0.25">
      <c r="A3156" s="170"/>
      <c r="B3156" s="170"/>
    </row>
    <row r="3157" spans="1:2" x14ac:dyDescent="0.25">
      <c r="A3157" s="170"/>
      <c r="B3157" s="170"/>
    </row>
    <row r="3158" spans="1:2" x14ac:dyDescent="0.25">
      <c r="A3158" s="170"/>
      <c r="B3158" s="170"/>
    </row>
    <row r="3159" spans="1:2" x14ac:dyDescent="0.25">
      <c r="A3159" s="170"/>
      <c r="B3159" s="170"/>
    </row>
    <row r="3160" spans="1:2" x14ac:dyDescent="0.25">
      <c r="A3160" s="170"/>
      <c r="B3160" s="170"/>
    </row>
    <row r="3161" spans="1:2" x14ac:dyDescent="0.25">
      <c r="A3161" s="170"/>
      <c r="B3161" s="170"/>
    </row>
    <row r="3162" spans="1:2" x14ac:dyDescent="0.25">
      <c r="A3162" s="170"/>
      <c r="B3162" s="170"/>
    </row>
    <row r="3163" spans="1:2" x14ac:dyDescent="0.25">
      <c r="A3163" s="170"/>
      <c r="B3163" s="170"/>
    </row>
    <row r="3164" spans="1:2" x14ac:dyDescent="0.25">
      <c r="A3164" s="170"/>
      <c r="B3164" s="170"/>
    </row>
    <row r="3165" spans="1:2" x14ac:dyDescent="0.25">
      <c r="A3165" s="170"/>
      <c r="B3165" s="170"/>
    </row>
    <row r="3166" spans="1:2" x14ac:dyDescent="0.25">
      <c r="A3166" s="170"/>
      <c r="B3166" s="170"/>
    </row>
    <row r="3167" spans="1:2" x14ac:dyDescent="0.25">
      <c r="A3167" s="170"/>
      <c r="B3167" s="170"/>
    </row>
    <row r="3168" spans="1:2" x14ac:dyDescent="0.25">
      <c r="A3168" s="170"/>
      <c r="B3168" s="170"/>
    </row>
    <row r="3169" spans="1:2" x14ac:dyDescent="0.25">
      <c r="A3169" s="170"/>
      <c r="B3169" s="170"/>
    </row>
    <row r="3170" spans="1:2" x14ac:dyDescent="0.25">
      <c r="A3170" s="170"/>
      <c r="B3170" s="170"/>
    </row>
    <row r="3171" spans="1:2" x14ac:dyDescent="0.25">
      <c r="A3171" s="170"/>
      <c r="B3171" s="170"/>
    </row>
    <row r="3172" spans="1:2" x14ac:dyDescent="0.25">
      <c r="A3172" s="170"/>
      <c r="B3172" s="170"/>
    </row>
    <row r="3173" spans="1:2" x14ac:dyDescent="0.25">
      <c r="A3173" s="170"/>
      <c r="B3173" s="170"/>
    </row>
    <row r="3174" spans="1:2" x14ac:dyDescent="0.25">
      <c r="A3174" s="170"/>
      <c r="B3174" s="170"/>
    </row>
    <row r="3175" spans="1:2" x14ac:dyDescent="0.25">
      <c r="A3175" s="170"/>
      <c r="B3175" s="170"/>
    </row>
    <row r="3176" spans="1:2" x14ac:dyDescent="0.25">
      <c r="A3176" s="170"/>
      <c r="B3176" s="170"/>
    </row>
    <row r="3177" spans="1:2" x14ac:dyDescent="0.25">
      <c r="A3177" s="170"/>
      <c r="B3177" s="170"/>
    </row>
    <row r="3178" spans="1:2" x14ac:dyDescent="0.25">
      <c r="A3178" s="170"/>
      <c r="B3178" s="170"/>
    </row>
    <row r="3179" spans="1:2" x14ac:dyDescent="0.25">
      <c r="A3179" s="170"/>
      <c r="B3179" s="170"/>
    </row>
    <row r="3180" spans="1:2" x14ac:dyDescent="0.25">
      <c r="A3180" s="170"/>
      <c r="B3180" s="170"/>
    </row>
    <row r="3181" spans="1:2" x14ac:dyDescent="0.25">
      <c r="A3181" s="170"/>
      <c r="B3181" s="170"/>
    </row>
    <row r="3182" spans="1:2" x14ac:dyDescent="0.25">
      <c r="A3182" s="170"/>
      <c r="B3182" s="170"/>
    </row>
    <row r="3183" spans="1:2" x14ac:dyDescent="0.25">
      <c r="A3183" s="170"/>
      <c r="B3183" s="170"/>
    </row>
    <row r="3184" spans="1:2" x14ac:dyDescent="0.25">
      <c r="A3184" s="170"/>
      <c r="B3184" s="170"/>
    </row>
    <row r="3185" spans="1:2" x14ac:dyDescent="0.25">
      <c r="A3185" s="170"/>
      <c r="B3185" s="170"/>
    </row>
    <row r="3186" spans="1:2" x14ac:dyDescent="0.25">
      <c r="A3186" s="170"/>
      <c r="B3186" s="170"/>
    </row>
    <row r="3187" spans="1:2" x14ac:dyDescent="0.25">
      <c r="A3187" s="170"/>
      <c r="B3187" s="170"/>
    </row>
    <row r="3188" spans="1:2" x14ac:dyDescent="0.25">
      <c r="A3188" s="170"/>
      <c r="B3188" s="170"/>
    </row>
    <row r="3189" spans="1:2" x14ac:dyDescent="0.25">
      <c r="A3189" s="170"/>
      <c r="B3189" s="170"/>
    </row>
    <row r="3190" spans="1:2" x14ac:dyDescent="0.25">
      <c r="A3190" s="170"/>
      <c r="B3190" s="170"/>
    </row>
    <row r="3191" spans="1:2" x14ac:dyDescent="0.25">
      <c r="A3191" s="170"/>
      <c r="B3191" s="170"/>
    </row>
    <row r="3192" spans="1:2" x14ac:dyDescent="0.25">
      <c r="A3192" s="170"/>
      <c r="B3192" s="170"/>
    </row>
    <row r="3193" spans="1:2" x14ac:dyDescent="0.25">
      <c r="A3193" s="170"/>
      <c r="B3193" s="170"/>
    </row>
    <row r="3194" spans="1:2" x14ac:dyDescent="0.25">
      <c r="A3194" s="170"/>
      <c r="B3194" s="170"/>
    </row>
    <row r="3195" spans="1:2" x14ac:dyDescent="0.25">
      <c r="A3195" s="170"/>
      <c r="B3195" s="170"/>
    </row>
    <row r="3196" spans="1:2" x14ac:dyDescent="0.25">
      <c r="A3196" s="170"/>
      <c r="B3196" s="170"/>
    </row>
    <row r="3197" spans="1:2" x14ac:dyDescent="0.25">
      <c r="A3197" s="170"/>
      <c r="B3197" s="170"/>
    </row>
    <row r="3198" spans="1:2" x14ac:dyDescent="0.25">
      <c r="A3198" s="170"/>
      <c r="B3198" s="170"/>
    </row>
    <row r="3199" spans="1:2" x14ac:dyDescent="0.25">
      <c r="A3199" s="170"/>
      <c r="B3199" s="170"/>
    </row>
    <row r="3200" spans="1:2" x14ac:dyDescent="0.25">
      <c r="A3200" s="170"/>
      <c r="B3200" s="170"/>
    </row>
    <row r="3201" spans="1:2" x14ac:dyDescent="0.25">
      <c r="A3201" s="170"/>
      <c r="B3201" s="170"/>
    </row>
    <row r="3202" spans="1:2" x14ac:dyDescent="0.25">
      <c r="A3202" s="170"/>
      <c r="B3202" s="170"/>
    </row>
    <row r="3203" spans="1:2" x14ac:dyDescent="0.25">
      <c r="A3203" s="170"/>
      <c r="B3203" s="170"/>
    </row>
    <row r="3204" spans="1:2" x14ac:dyDescent="0.25">
      <c r="A3204" s="170"/>
      <c r="B3204" s="170"/>
    </row>
    <row r="3205" spans="1:2" x14ac:dyDescent="0.25">
      <c r="A3205" s="170"/>
      <c r="B3205" s="170"/>
    </row>
    <row r="3206" spans="1:2" x14ac:dyDescent="0.25">
      <c r="A3206" s="170"/>
      <c r="B3206" s="170"/>
    </row>
    <row r="3207" spans="1:2" x14ac:dyDescent="0.25">
      <c r="A3207" s="170"/>
      <c r="B3207" s="170"/>
    </row>
    <row r="3208" spans="1:2" x14ac:dyDescent="0.25">
      <c r="A3208" s="170"/>
      <c r="B3208" s="170"/>
    </row>
    <row r="3209" spans="1:2" x14ac:dyDescent="0.25">
      <c r="A3209" s="170"/>
      <c r="B3209" s="170"/>
    </row>
    <row r="3210" spans="1:2" x14ac:dyDescent="0.25">
      <c r="A3210" s="170"/>
      <c r="B3210" s="170"/>
    </row>
    <row r="3211" spans="1:2" x14ac:dyDescent="0.25">
      <c r="A3211" s="170"/>
      <c r="B3211" s="170"/>
    </row>
    <row r="3212" spans="1:2" x14ac:dyDescent="0.25">
      <c r="A3212" s="170"/>
      <c r="B3212" s="170"/>
    </row>
    <row r="3213" spans="1:2" x14ac:dyDescent="0.25">
      <c r="A3213" s="170"/>
      <c r="B3213" s="170"/>
    </row>
    <row r="3214" spans="1:2" x14ac:dyDescent="0.25">
      <c r="A3214" s="170"/>
      <c r="B3214" s="170"/>
    </row>
    <row r="3215" spans="1:2" x14ac:dyDescent="0.25">
      <c r="A3215" s="170"/>
      <c r="B3215" s="170"/>
    </row>
    <row r="3216" spans="1:2" x14ac:dyDescent="0.25">
      <c r="A3216" s="170"/>
      <c r="B3216" s="170"/>
    </row>
    <row r="3217" spans="1:2" x14ac:dyDescent="0.25">
      <c r="A3217" s="170"/>
      <c r="B3217" s="170"/>
    </row>
    <row r="3218" spans="1:2" x14ac:dyDescent="0.25">
      <c r="A3218" s="170"/>
      <c r="B3218" s="170"/>
    </row>
    <row r="3219" spans="1:2" x14ac:dyDescent="0.25">
      <c r="A3219" s="170"/>
      <c r="B3219" s="170"/>
    </row>
    <row r="3220" spans="1:2" x14ac:dyDescent="0.25">
      <c r="A3220" s="170"/>
      <c r="B3220" s="170"/>
    </row>
    <row r="3221" spans="1:2" x14ac:dyDescent="0.25">
      <c r="A3221" s="170"/>
      <c r="B3221" s="170"/>
    </row>
    <row r="3222" spans="1:2" x14ac:dyDescent="0.25">
      <c r="A3222" s="170"/>
      <c r="B3222" s="170"/>
    </row>
    <row r="3223" spans="1:2" x14ac:dyDescent="0.25">
      <c r="A3223" s="170"/>
      <c r="B3223" s="170"/>
    </row>
    <row r="3224" spans="1:2" x14ac:dyDescent="0.25">
      <c r="A3224" s="170"/>
      <c r="B3224" s="170"/>
    </row>
    <row r="3225" spans="1:2" x14ac:dyDescent="0.25">
      <c r="A3225" s="170"/>
      <c r="B3225" s="170"/>
    </row>
    <row r="3226" spans="1:2" x14ac:dyDescent="0.25">
      <c r="A3226" s="170"/>
      <c r="B3226" s="170"/>
    </row>
    <row r="3227" spans="1:2" x14ac:dyDescent="0.25">
      <c r="A3227" s="170"/>
      <c r="B3227" s="170"/>
    </row>
    <row r="3228" spans="1:2" x14ac:dyDescent="0.25">
      <c r="A3228" s="170"/>
      <c r="B3228" s="170"/>
    </row>
    <row r="3229" spans="1:2" x14ac:dyDescent="0.25">
      <c r="A3229" s="170"/>
      <c r="B3229" s="170"/>
    </row>
    <row r="3230" spans="1:2" x14ac:dyDescent="0.25">
      <c r="A3230" s="170"/>
      <c r="B3230" s="170"/>
    </row>
    <row r="3231" spans="1:2" x14ac:dyDescent="0.25">
      <c r="A3231" s="170"/>
      <c r="B3231" s="170"/>
    </row>
    <row r="3232" spans="1:2" x14ac:dyDescent="0.25">
      <c r="A3232" s="170"/>
      <c r="B3232" s="170"/>
    </row>
    <row r="3233" spans="1:2" x14ac:dyDescent="0.25">
      <c r="A3233" s="170"/>
      <c r="B3233" s="170"/>
    </row>
    <row r="3234" spans="1:2" x14ac:dyDescent="0.25">
      <c r="A3234" s="170"/>
      <c r="B3234" s="170"/>
    </row>
    <row r="3235" spans="1:2" x14ac:dyDescent="0.25">
      <c r="A3235" s="170"/>
      <c r="B3235" s="170"/>
    </row>
    <row r="3236" spans="1:2" x14ac:dyDescent="0.25">
      <c r="A3236" s="170"/>
      <c r="B3236" s="170"/>
    </row>
    <row r="3237" spans="1:2" x14ac:dyDescent="0.25">
      <c r="A3237" s="170"/>
      <c r="B3237" s="170"/>
    </row>
    <row r="3238" spans="1:2" x14ac:dyDescent="0.25">
      <c r="A3238" s="170"/>
      <c r="B3238" s="170"/>
    </row>
    <row r="3239" spans="1:2" x14ac:dyDescent="0.25">
      <c r="A3239" s="170"/>
      <c r="B3239" s="170"/>
    </row>
    <row r="3240" spans="1:2" x14ac:dyDescent="0.25">
      <c r="A3240" s="170"/>
      <c r="B3240" s="170"/>
    </row>
    <row r="3241" spans="1:2" x14ac:dyDescent="0.25">
      <c r="A3241" s="170"/>
      <c r="B3241" s="170"/>
    </row>
    <row r="3242" spans="1:2" x14ac:dyDescent="0.25">
      <c r="A3242" s="170"/>
      <c r="B3242" s="170"/>
    </row>
    <row r="3243" spans="1:2" x14ac:dyDescent="0.25">
      <c r="A3243" s="170"/>
      <c r="B3243" s="170"/>
    </row>
    <row r="3244" spans="1:2" x14ac:dyDescent="0.25">
      <c r="A3244" s="170"/>
      <c r="B3244" s="170"/>
    </row>
    <row r="3245" spans="1:2" x14ac:dyDescent="0.25">
      <c r="A3245" s="170"/>
      <c r="B3245" s="170"/>
    </row>
    <row r="3246" spans="1:2" x14ac:dyDescent="0.25">
      <c r="A3246" s="170"/>
      <c r="B3246" s="170"/>
    </row>
    <row r="3247" spans="1:2" x14ac:dyDescent="0.25">
      <c r="A3247" s="170"/>
      <c r="B3247" s="170"/>
    </row>
    <row r="3248" spans="1:2" x14ac:dyDescent="0.25">
      <c r="A3248" s="170"/>
      <c r="B3248" s="170"/>
    </row>
    <row r="3249" spans="1:2" x14ac:dyDescent="0.25">
      <c r="A3249" s="170"/>
      <c r="B3249" s="170"/>
    </row>
    <row r="3250" spans="1:2" x14ac:dyDescent="0.25">
      <c r="A3250" s="170"/>
      <c r="B3250" s="170"/>
    </row>
    <row r="3251" spans="1:2" x14ac:dyDescent="0.25">
      <c r="A3251" s="170"/>
      <c r="B3251" s="170"/>
    </row>
    <row r="3252" spans="1:2" x14ac:dyDescent="0.25">
      <c r="A3252" s="170"/>
      <c r="B3252" s="170"/>
    </row>
    <row r="3253" spans="1:2" x14ac:dyDescent="0.25">
      <c r="A3253" s="170"/>
      <c r="B3253" s="170"/>
    </row>
    <row r="3254" spans="1:2" x14ac:dyDescent="0.25">
      <c r="A3254" s="170"/>
      <c r="B3254" s="170"/>
    </row>
    <row r="3255" spans="1:2" x14ac:dyDescent="0.25">
      <c r="A3255" s="170"/>
      <c r="B3255" s="170"/>
    </row>
    <row r="3256" spans="1:2" x14ac:dyDescent="0.25">
      <c r="A3256" s="170"/>
      <c r="B3256" s="170"/>
    </row>
    <row r="3257" spans="1:2" x14ac:dyDescent="0.25">
      <c r="A3257" s="170"/>
      <c r="B3257" s="170"/>
    </row>
    <row r="3258" spans="1:2" x14ac:dyDescent="0.25">
      <c r="A3258" s="170"/>
      <c r="B3258" s="170"/>
    </row>
    <row r="3259" spans="1:2" x14ac:dyDescent="0.25">
      <c r="A3259" s="170"/>
      <c r="B3259" s="170"/>
    </row>
    <row r="3260" spans="1:2" x14ac:dyDescent="0.25">
      <c r="A3260" s="170"/>
      <c r="B3260" s="170"/>
    </row>
    <row r="3261" spans="1:2" x14ac:dyDescent="0.25">
      <c r="A3261" s="170"/>
      <c r="B3261" s="170"/>
    </row>
    <row r="3262" spans="1:2" x14ac:dyDescent="0.25">
      <c r="A3262" s="170"/>
      <c r="B3262" s="170"/>
    </row>
    <row r="3263" spans="1:2" x14ac:dyDescent="0.25">
      <c r="A3263" s="170"/>
      <c r="B3263" s="170"/>
    </row>
    <row r="3264" spans="1:2" x14ac:dyDescent="0.25">
      <c r="A3264" s="170"/>
      <c r="B3264" s="170"/>
    </row>
    <row r="3265" spans="1:2" x14ac:dyDescent="0.25">
      <c r="A3265" s="170"/>
      <c r="B3265" s="170"/>
    </row>
    <row r="3266" spans="1:2" x14ac:dyDescent="0.25">
      <c r="A3266" s="170"/>
      <c r="B3266" s="170"/>
    </row>
    <row r="3267" spans="1:2" x14ac:dyDescent="0.25">
      <c r="A3267" s="170"/>
      <c r="B3267" s="170"/>
    </row>
    <row r="3268" spans="1:2" x14ac:dyDescent="0.25">
      <c r="A3268" s="170"/>
      <c r="B3268" s="170"/>
    </row>
    <row r="3269" spans="1:2" x14ac:dyDescent="0.25">
      <c r="A3269" s="170"/>
      <c r="B3269" s="170"/>
    </row>
    <row r="3270" spans="1:2" x14ac:dyDescent="0.25">
      <c r="A3270" s="170"/>
      <c r="B3270" s="170"/>
    </row>
    <row r="3271" spans="1:2" x14ac:dyDescent="0.25">
      <c r="A3271" s="170"/>
      <c r="B3271" s="170"/>
    </row>
    <row r="3272" spans="1:2" x14ac:dyDescent="0.25">
      <c r="A3272" s="170"/>
      <c r="B3272" s="170"/>
    </row>
    <row r="3273" spans="1:2" x14ac:dyDescent="0.25">
      <c r="A3273" s="170"/>
      <c r="B3273" s="170"/>
    </row>
    <row r="3274" spans="1:2" x14ac:dyDescent="0.25">
      <c r="A3274" s="170"/>
      <c r="B3274" s="170"/>
    </row>
    <row r="3275" spans="1:2" x14ac:dyDescent="0.25">
      <c r="A3275" s="170"/>
      <c r="B3275" s="170"/>
    </row>
    <row r="3276" spans="1:2" x14ac:dyDescent="0.25">
      <c r="A3276" s="170"/>
      <c r="B3276" s="170"/>
    </row>
    <row r="3277" spans="1:2" x14ac:dyDescent="0.25">
      <c r="A3277" s="170"/>
      <c r="B3277" s="170"/>
    </row>
    <row r="3278" spans="1:2" x14ac:dyDescent="0.25">
      <c r="A3278" s="170"/>
      <c r="B3278" s="170"/>
    </row>
    <row r="3279" spans="1:2" x14ac:dyDescent="0.25">
      <c r="A3279" s="170"/>
      <c r="B3279" s="170"/>
    </row>
    <row r="3280" spans="1:2" x14ac:dyDescent="0.25">
      <c r="A3280" s="170"/>
      <c r="B3280" s="170"/>
    </row>
    <row r="3281" spans="1:2" x14ac:dyDescent="0.25">
      <c r="A3281" s="170"/>
      <c r="B3281" s="170"/>
    </row>
    <row r="3282" spans="1:2" x14ac:dyDescent="0.25">
      <c r="A3282" s="170"/>
      <c r="B3282" s="170"/>
    </row>
    <row r="3283" spans="1:2" x14ac:dyDescent="0.25">
      <c r="A3283" s="170"/>
      <c r="B3283" s="170"/>
    </row>
    <row r="3284" spans="1:2" x14ac:dyDescent="0.25">
      <c r="A3284" s="170"/>
      <c r="B3284" s="170"/>
    </row>
    <row r="3285" spans="1:2" x14ac:dyDescent="0.25">
      <c r="A3285" s="170"/>
      <c r="B3285" s="170"/>
    </row>
    <row r="3286" spans="1:2" x14ac:dyDescent="0.25">
      <c r="A3286" s="170"/>
      <c r="B3286" s="170"/>
    </row>
    <row r="3287" spans="1:2" x14ac:dyDescent="0.25">
      <c r="A3287" s="170"/>
      <c r="B3287" s="170"/>
    </row>
    <row r="3288" spans="1:2" x14ac:dyDescent="0.25">
      <c r="A3288" s="170"/>
      <c r="B3288" s="170"/>
    </row>
    <row r="3289" spans="1:2" x14ac:dyDescent="0.25">
      <c r="A3289" s="170"/>
      <c r="B3289" s="170"/>
    </row>
    <row r="3290" spans="1:2" x14ac:dyDescent="0.25">
      <c r="A3290" s="170"/>
      <c r="B3290" s="170"/>
    </row>
    <row r="3291" spans="1:2" x14ac:dyDescent="0.25">
      <c r="A3291" s="170"/>
      <c r="B3291" s="170"/>
    </row>
    <row r="3292" spans="1:2" x14ac:dyDescent="0.25">
      <c r="A3292" s="170"/>
      <c r="B3292" s="170"/>
    </row>
    <row r="3293" spans="1:2" x14ac:dyDescent="0.25">
      <c r="A3293" s="170"/>
      <c r="B3293" s="170"/>
    </row>
    <row r="3294" spans="1:2" x14ac:dyDescent="0.25">
      <c r="A3294" s="170"/>
      <c r="B3294" s="170"/>
    </row>
    <row r="3295" spans="1:2" x14ac:dyDescent="0.25">
      <c r="A3295" s="170"/>
      <c r="B3295" s="170"/>
    </row>
    <row r="3296" spans="1:2" x14ac:dyDescent="0.25">
      <c r="A3296" s="170"/>
      <c r="B3296" s="170"/>
    </row>
    <row r="3297" spans="1:2" x14ac:dyDescent="0.25">
      <c r="A3297" s="170"/>
      <c r="B3297" s="170"/>
    </row>
    <row r="3298" spans="1:2" x14ac:dyDescent="0.25">
      <c r="A3298" s="170"/>
      <c r="B3298" s="170"/>
    </row>
    <row r="3299" spans="1:2" x14ac:dyDescent="0.25">
      <c r="A3299" s="170"/>
      <c r="B3299" s="170"/>
    </row>
    <row r="3300" spans="1:2" x14ac:dyDescent="0.25">
      <c r="A3300" s="170"/>
      <c r="B3300" s="170"/>
    </row>
    <row r="3301" spans="1:2" x14ac:dyDescent="0.25">
      <c r="A3301" s="170"/>
      <c r="B3301" s="170"/>
    </row>
    <row r="3302" spans="1:2" x14ac:dyDescent="0.25">
      <c r="A3302" s="170"/>
      <c r="B3302" s="170"/>
    </row>
    <row r="3303" spans="1:2" x14ac:dyDescent="0.25">
      <c r="A3303" s="170"/>
      <c r="B3303" s="170"/>
    </row>
    <row r="3304" spans="1:2" x14ac:dyDescent="0.25">
      <c r="A3304" s="170"/>
      <c r="B3304" s="170"/>
    </row>
    <row r="3305" spans="1:2" x14ac:dyDescent="0.25">
      <c r="A3305" s="170"/>
      <c r="B3305" s="170"/>
    </row>
    <row r="3306" spans="1:2" x14ac:dyDescent="0.25">
      <c r="A3306" s="170"/>
      <c r="B3306" s="170"/>
    </row>
    <row r="3307" spans="1:2" x14ac:dyDescent="0.25">
      <c r="A3307" s="170"/>
      <c r="B3307" s="170"/>
    </row>
    <row r="3308" spans="1:2" x14ac:dyDescent="0.25">
      <c r="A3308" s="170"/>
      <c r="B3308" s="170"/>
    </row>
    <row r="3309" spans="1:2" x14ac:dyDescent="0.25">
      <c r="A3309" s="170"/>
      <c r="B3309" s="170"/>
    </row>
    <row r="3310" spans="1:2" x14ac:dyDescent="0.25">
      <c r="A3310" s="170"/>
      <c r="B3310" s="170"/>
    </row>
    <row r="3311" spans="1:2" x14ac:dyDescent="0.25">
      <c r="A3311" s="170"/>
      <c r="B3311" s="170"/>
    </row>
    <row r="3312" spans="1:2" x14ac:dyDescent="0.25">
      <c r="A3312" s="170"/>
      <c r="B3312" s="170"/>
    </row>
    <row r="3313" spans="1:2" x14ac:dyDescent="0.25">
      <c r="A3313" s="170"/>
      <c r="B3313" s="170"/>
    </row>
    <row r="3314" spans="1:2" x14ac:dyDescent="0.25">
      <c r="A3314" s="170"/>
      <c r="B3314" s="170"/>
    </row>
    <row r="3315" spans="1:2" x14ac:dyDescent="0.25">
      <c r="A3315" s="170"/>
      <c r="B3315" s="170"/>
    </row>
    <row r="3316" spans="1:2" x14ac:dyDescent="0.25">
      <c r="A3316" s="170"/>
      <c r="B3316" s="170"/>
    </row>
    <row r="3317" spans="1:2" x14ac:dyDescent="0.25">
      <c r="A3317" s="170"/>
      <c r="B3317" s="170"/>
    </row>
    <row r="3318" spans="1:2" x14ac:dyDescent="0.25">
      <c r="A3318" s="170"/>
      <c r="B3318" s="170"/>
    </row>
    <row r="3319" spans="1:2" x14ac:dyDescent="0.25">
      <c r="A3319" s="170"/>
      <c r="B3319" s="170"/>
    </row>
    <row r="3320" spans="1:2" x14ac:dyDescent="0.25">
      <c r="A3320" s="170"/>
      <c r="B3320" s="170"/>
    </row>
    <row r="3321" spans="1:2" x14ac:dyDescent="0.25">
      <c r="A3321" s="170"/>
      <c r="B3321" s="170"/>
    </row>
    <row r="3322" spans="1:2" x14ac:dyDescent="0.25">
      <c r="A3322" s="170"/>
      <c r="B3322" s="170"/>
    </row>
    <row r="3323" spans="1:2" x14ac:dyDescent="0.25">
      <c r="A3323" s="170"/>
      <c r="B3323" s="170"/>
    </row>
    <row r="3324" spans="1:2" x14ac:dyDescent="0.25">
      <c r="A3324" s="170"/>
      <c r="B3324" s="170"/>
    </row>
    <row r="3325" spans="1:2" x14ac:dyDescent="0.25">
      <c r="A3325" s="170"/>
      <c r="B3325" s="170"/>
    </row>
    <row r="3326" spans="1:2" x14ac:dyDescent="0.25">
      <c r="A3326" s="170"/>
      <c r="B3326" s="170"/>
    </row>
    <row r="3327" spans="1:2" x14ac:dyDescent="0.25">
      <c r="A3327" s="170"/>
      <c r="B3327" s="170"/>
    </row>
    <row r="3328" spans="1:2" x14ac:dyDescent="0.25">
      <c r="A3328" s="170"/>
      <c r="B3328" s="170"/>
    </row>
    <row r="3329" spans="1:2" x14ac:dyDescent="0.25">
      <c r="A3329" s="170"/>
      <c r="B3329" s="170"/>
    </row>
    <row r="3330" spans="1:2" x14ac:dyDescent="0.25">
      <c r="A3330" s="170"/>
      <c r="B3330" s="170"/>
    </row>
    <row r="3331" spans="1:2" x14ac:dyDescent="0.25">
      <c r="A3331" s="170"/>
      <c r="B3331" s="170"/>
    </row>
    <row r="3332" spans="1:2" x14ac:dyDescent="0.25">
      <c r="A3332" s="170"/>
      <c r="B3332" s="170"/>
    </row>
    <row r="3333" spans="1:2" x14ac:dyDescent="0.25">
      <c r="A3333" s="170"/>
      <c r="B3333" s="170"/>
    </row>
    <row r="3334" spans="1:2" x14ac:dyDescent="0.25">
      <c r="A3334" s="170"/>
      <c r="B3334" s="170"/>
    </row>
    <row r="3335" spans="1:2" x14ac:dyDescent="0.25">
      <c r="A3335" s="170"/>
      <c r="B3335" s="170"/>
    </row>
    <row r="3336" spans="1:2" x14ac:dyDescent="0.25">
      <c r="A3336" s="170"/>
      <c r="B3336" s="170"/>
    </row>
    <row r="3337" spans="1:2" x14ac:dyDescent="0.25">
      <c r="A3337" s="170"/>
      <c r="B3337" s="170"/>
    </row>
    <row r="3338" spans="1:2" x14ac:dyDescent="0.25">
      <c r="A3338" s="170"/>
      <c r="B3338" s="170"/>
    </row>
    <row r="3339" spans="1:2" x14ac:dyDescent="0.25">
      <c r="A3339" s="170"/>
      <c r="B3339" s="170"/>
    </row>
    <row r="3340" spans="1:2" x14ac:dyDescent="0.25">
      <c r="A3340" s="170"/>
      <c r="B3340" s="170"/>
    </row>
    <row r="3341" spans="1:2" x14ac:dyDescent="0.25">
      <c r="A3341" s="170"/>
      <c r="B3341" s="170"/>
    </row>
    <row r="3342" spans="1:2" x14ac:dyDescent="0.25">
      <c r="A3342" s="170"/>
      <c r="B3342" s="170"/>
    </row>
    <row r="3343" spans="1:2" x14ac:dyDescent="0.25">
      <c r="A3343" s="170"/>
      <c r="B3343" s="170"/>
    </row>
    <row r="3344" spans="1:2" x14ac:dyDescent="0.25">
      <c r="A3344" s="170"/>
      <c r="B3344" s="170"/>
    </row>
    <row r="3345" spans="1:2" x14ac:dyDescent="0.25">
      <c r="A3345" s="170"/>
      <c r="B3345" s="170"/>
    </row>
    <row r="3346" spans="1:2" x14ac:dyDescent="0.25">
      <c r="A3346" s="170"/>
      <c r="B3346" s="170"/>
    </row>
    <row r="3347" spans="1:2" x14ac:dyDescent="0.25">
      <c r="A3347" s="170"/>
      <c r="B3347" s="170"/>
    </row>
    <row r="3348" spans="1:2" x14ac:dyDescent="0.25">
      <c r="A3348" s="170"/>
      <c r="B3348" s="170"/>
    </row>
    <row r="3349" spans="1:2" x14ac:dyDescent="0.25">
      <c r="A3349" s="170"/>
      <c r="B3349" s="170"/>
    </row>
    <row r="3350" spans="1:2" x14ac:dyDescent="0.25">
      <c r="A3350" s="170"/>
      <c r="B3350" s="170"/>
    </row>
    <row r="3351" spans="1:2" x14ac:dyDescent="0.25">
      <c r="A3351" s="170"/>
      <c r="B3351" s="170"/>
    </row>
    <row r="3352" spans="1:2" x14ac:dyDescent="0.25">
      <c r="A3352" s="170"/>
      <c r="B3352" s="170"/>
    </row>
    <row r="3353" spans="1:2" x14ac:dyDescent="0.25">
      <c r="A3353" s="170"/>
      <c r="B3353" s="170"/>
    </row>
    <row r="3354" spans="1:2" x14ac:dyDescent="0.25">
      <c r="A3354" s="170"/>
      <c r="B3354" s="170"/>
    </row>
    <row r="3355" spans="1:2" x14ac:dyDescent="0.25">
      <c r="A3355" s="170"/>
      <c r="B3355" s="170"/>
    </row>
    <row r="3356" spans="1:2" x14ac:dyDescent="0.25">
      <c r="A3356" s="170"/>
      <c r="B3356" s="170"/>
    </row>
    <row r="3357" spans="1:2" x14ac:dyDescent="0.25">
      <c r="A3357" s="170"/>
      <c r="B3357" s="170"/>
    </row>
    <row r="3358" spans="1:2" x14ac:dyDescent="0.25">
      <c r="A3358" s="170"/>
      <c r="B3358" s="170"/>
    </row>
    <row r="3359" spans="1:2" x14ac:dyDescent="0.25">
      <c r="A3359" s="170"/>
      <c r="B3359" s="170"/>
    </row>
    <row r="3360" spans="1:2" x14ac:dyDescent="0.25">
      <c r="A3360" s="170"/>
      <c r="B3360" s="170"/>
    </row>
    <row r="3361" spans="1:2" x14ac:dyDescent="0.25">
      <c r="A3361" s="170"/>
      <c r="B3361" s="170"/>
    </row>
    <row r="3362" spans="1:2" x14ac:dyDescent="0.25">
      <c r="A3362" s="170"/>
      <c r="B3362" s="170"/>
    </row>
    <row r="3363" spans="1:2" x14ac:dyDescent="0.25">
      <c r="A3363" s="170"/>
      <c r="B3363" s="170"/>
    </row>
    <row r="3364" spans="1:2" x14ac:dyDescent="0.25">
      <c r="A3364" s="170"/>
      <c r="B3364" s="170"/>
    </row>
    <row r="3365" spans="1:2" x14ac:dyDescent="0.25">
      <c r="A3365" s="170"/>
      <c r="B3365" s="170"/>
    </row>
    <row r="3366" spans="1:2" x14ac:dyDescent="0.25">
      <c r="A3366" s="170"/>
      <c r="B3366" s="170"/>
    </row>
    <row r="3367" spans="1:2" x14ac:dyDescent="0.25">
      <c r="A3367" s="170"/>
      <c r="B3367" s="170"/>
    </row>
    <row r="3368" spans="1:2" x14ac:dyDescent="0.25">
      <c r="A3368" s="170"/>
      <c r="B3368" s="170"/>
    </row>
    <row r="3369" spans="1:2" x14ac:dyDescent="0.25">
      <c r="A3369" s="170"/>
      <c r="B3369" s="170"/>
    </row>
    <row r="3370" spans="1:2" x14ac:dyDescent="0.25">
      <c r="A3370" s="170"/>
      <c r="B3370" s="170"/>
    </row>
    <row r="3371" spans="1:2" x14ac:dyDescent="0.25">
      <c r="A3371" s="170"/>
      <c r="B3371" s="170"/>
    </row>
    <row r="3372" spans="1:2" x14ac:dyDescent="0.25">
      <c r="A3372" s="170"/>
      <c r="B3372" s="170"/>
    </row>
    <row r="3373" spans="1:2" x14ac:dyDescent="0.25">
      <c r="A3373" s="170"/>
      <c r="B3373" s="170"/>
    </row>
    <row r="3374" spans="1:2" x14ac:dyDescent="0.25">
      <c r="A3374" s="170"/>
      <c r="B3374" s="170"/>
    </row>
    <row r="3375" spans="1:2" x14ac:dyDescent="0.25">
      <c r="A3375" s="170"/>
      <c r="B3375" s="170"/>
    </row>
    <row r="3376" spans="1:2" x14ac:dyDescent="0.25">
      <c r="A3376" s="170"/>
      <c r="B3376" s="170"/>
    </row>
    <row r="3377" spans="1:2" x14ac:dyDescent="0.25">
      <c r="A3377" s="170"/>
      <c r="B3377" s="170"/>
    </row>
    <row r="3378" spans="1:2" x14ac:dyDescent="0.25">
      <c r="A3378" s="170"/>
      <c r="B3378" s="170"/>
    </row>
    <row r="3379" spans="1:2" x14ac:dyDescent="0.25">
      <c r="A3379" s="170"/>
      <c r="B3379" s="170"/>
    </row>
    <row r="3380" spans="1:2" x14ac:dyDescent="0.25">
      <c r="A3380" s="170"/>
      <c r="B3380" s="170"/>
    </row>
    <row r="3381" spans="1:2" x14ac:dyDescent="0.25">
      <c r="A3381" s="170"/>
      <c r="B3381" s="170"/>
    </row>
    <row r="3382" spans="1:2" x14ac:dyDescent="0.25">
      <c r="A3382" s="170"/>
      <c r="B3382" s="170"/>
    </row>
    <row r="3383" spans="1:2" x14ac:dyDescent="0.25">
      <c r="A3383" s="170"/>
      <c r="B3383" s="170"/>
    </row>
    <row r="3384" spans="1:2" x14ac:dyDescent="0.25">
      <c r="A3384" s="170"/>
      <c r="B3384" s="170"/>
    </row>
    <row r="3385" spans="1:2" x14ac:dyDescent="0.25">
      <c r="A3385" s="170"/>
      <c r="B3385" s="170"/>
    </row>
    <row r="3386" spans="1:2" x14ac:dyDescent="0.25">
      <c r="A3386" s="170"/>
      <c r="B3386" s="170"/>
    </row>
    <row r="3387" spans="1:2" x14ac:dyDescent="0.25">
      <c r="A3387" s="170"/>
      <c r="B3387" s="170"/>
    </row>
    <row r="3388" spans="1:2" x14ac:dyDescent="0.25">
      <c r="A3388" s="170"/>
      <c r="B3388" s="170"/>
    </row>
    <row r="3389" spans="1:2" x14ac:dyDescent="0.25">
      <c r="A3389" s="170"/>
      <c r="B3389" s="170"/>
    </row>
    <row r="3390" spans="1:2" x14ac:dyDescent="0.25">
      <c r="A3390" s="170"/>
      <c r="B3390" s="170"/>
    </row>
    <row r="3391" spans="1:2" x14ac:dyDescent="0.25">
      <c r="A3391" s="170"/>
      <c r="B3391" s="170"/>
    </row>
    <row r="3392" spans="1:2" x14ac:dyDescent="0.25">
      <c r="A3392" s="170"/>
      <c r="B3392" s="170"/>
    </row>
    <row r="3393" spans="1:2" x14ac:dyDescent="0.25">
      <c r="A3393" s="170"/>
      <c r="B3393" s="170"/>
    </row>
    <row r="3394" spans="1:2" x14ac:dyDescent="0.25">
      <c r="A3394" s="170"/>
      <c r="B3394" s="170"/>
    </row>
    <row r="3395" spans="1:2" x14ac:dyDescent="0.25">
      <c r="A3395" s="170"/>
      <c r="B3395" s="170"/>
    </row>
    <row r="3396" spans="1:2" x14ac:dyDescent="0.25">
      <c r="A3396" s="170"/>
      <c r="B3396" s="170"/>
    </row>
    <row r="3397" spans="1:2" x14ac:dyDescent="0.25">
      <c r="A3397" s="170"/>
      <c r="B3397" s="170"/>
    </row>
    <row r="3398" spans="1:2" x14ac:dyDescent="0.25">
      <c r="A3398" s="170"/>
      <c r="B3398" s="170"/>
    </row>
    <row r="3399" spans="1:2" x14ac:dyDescent="0.25">
      <c r="A3399" s="170"/>
      <c r="B3399" s="170"/>
    </row>
    <row r="3400" spans="1:2" x14ac:dyDescent="0.25">
      <c r="A3400" s="170"/>
      <c r="B3400" s="170"/>
    </row>
    <row r="3401" spans="1:2" x14ac:dyDescent="0.25">
      <c r="A3401" s="170"/>
      <c r="B3401" s="170"/>
    </row>
    <row r="3402" spans="1:2" x14ac:dyDescent="0.25">
      <c r="A3402" s="170"/>
      <c r="B3402" s="170"/>
    </row>
    <row r="3403" spans="1:2" x14ac:dyDescent="0.25">
      <c r="A3403" s="170"/>
      <c r="B3403" s="170"/>
    </row>
    <row r="3404" spans="1:2" x14ac:dyDescent="0.25">
      <c r="A3404" s="170"/>
      <c r="B3404" s="170"/>
    </row>
    <row r="3405" spans="1:2" x14ac:dyDescent="0.25">
      <c r="A3405" s="170"/>
      <c r="B3405" s="170"/>
    </row>
    <row r="3406" spans="1:2" x14ac:dyDescent="0.25">
      <c r="A3406" s="170"/>
      <c r="B3406" s="170"/>
    </row>
    <row r="3407" spans="1:2" x14ac:dyDescent="0.25">
      <c r="A3407" s="170"/>
      <c r="B3407" s="170"/>
    </row>
    <row r="3408" spans="1:2" x14ac:dyDescent="0.25">
      <c r="A3408" s="170"/>
      <c r="B3408" s="170"/>
    </row>
    <row r="3409" spans="1:2" x14ac:dyDescent="0.25">
      <c r="A3409" s="170"/>
      <c r="B3409" s="170"/>
    </row>
    <row r="3410" spans="1:2" x14ac:dyDescent="0.25">
      <c r="A3410" s="170"/>
      <c r="B3410" s="170"/>
    </row>
    <row r="3411" spans="1:2" x14ac:dyDescent="0.25">
      <c r="A3411" s="170"/>
      <c r="B3411" s="170"/>
    </row>
    <row r="3412" spans="1:2" x14ac:dyDescent="0.25">
      <c r="A3412" s="170"/>
      <c r="B3412" s="170"/>
    </row>
    <row r="3413" spans="1:2" x14ac:dyDescent="0.25">
      <c r="A3413" s="170"/>
      <c r="B3413" s="170"/>
    </row>
    <row r="3414" spans="1:2" x14ac:dyDescent="0.25">
      <c r="A3414" s="170"/>
      <c r="B3414" s="170"/>
    </row>
    <row r="3415" spans="1:2" x14ac:dyDescent="0.25">
      <c r="A3415" s="170"/>
      <c r="B3415" s="170"/>
    </row>
    <row r="3416" spans="1:2" x14ac:dyDescent="0.25">
      <c r="A3416" s="170"/>
      <c r="B3416" s="170"/>
    </row>
    <row r="3417" spans="1:2" x14ac:dyDescent="0.25">
      <c r="A3417" s="170"/>
      <c r="B3417" s="170"/>
    </row>
    <row r="3418" spans="1:2" x14ac:dyDescent="0.25">
      <c r="A3418" s="170"/>
      <c r="B3418" s="170"/>
    </row>
    <row r="3419" spans="1:2" x14ac:dyDescent="0.25">
      <c r="A3419" s="170"/>
      <c r="B3419" s="170"/>
    </row>
    <row r="3420" spans="1:2" x14ac:dyDescent="0.25">
      <c r="A3420" s="170"/>
      <c r="B3420" s="170"/>
    </row>
    <row r="3421" spans="1:2" x14ac:dyDescent="0.25">
      <c r="A3421" s="170"/>
      <c r="B3421" s="170"/>
    </row>
    <row r="3422" spans="1:2" x14ac:dyDescent="0.25">
      <c r="A3422" s="170"/>
      <c r="B3422" s="170"/>
    </row>
    <row r="3423" spans="1:2" x14ac:dyDescent="0.25">
      <c r="A3423" s="170"/>
      <c r="B3423" s="170"/>
    </row>
    <row r="3424" spans="1:2" x14ac:dyDescent="0.25">
      <c r="A3424" s="170"/>
      <c r="B3424" s="170"/>
    </row>
    <row r="3425" spans="1:2" x14ac:dyDescent="0.25">
      <c r="A3425" s="170"/>
      <c r="B3425" s="170"/>
    </row>
    <row r="3426" spans="1:2" x14ac:dyDescent="0.25">
      <c r="A3426" s="170"/>
      <c r="B3426" s="170"/>
    </row>
    <row r="3427" spans="1:2" x14ac:dyDescent="0.25">
      <c r="A3427" s="170"/>
      <c r="B3427" s="170"/>
    </row>
    <row r="3428" spans="1:2" x14ac:dyDescent="0.25">
      <c r="A3428" s="170"/>
      <c r="B3428" s="170"/>
    </row>
    <row r="3429" spans="1:2" x14ac:dyDescent="0.25">
      <c r="A3429" s="170"/>
      <c r="B3429" s="170"/>
    </row>
    <row r="3430" spans="1:2" x14ac:dyDescent="0.25">
      <c r="A3430" s="170"/>
      <c r="B3430" s="170"/>
    </row>
    <row r="3431" spans="1:2" x14ac:dyDescent="0.25">
      <c r="A3431" s="170"/>
      <c r="B3431" s="170"/>
    </row>
    <row r="3432" spans="1:2" x14ac:dyDescent="0.25">
      <c r="A3432" s="170"/>
      <c r="B3432" s="170"/>
    </row>
    <row r="3433" spans="1:2" x14ac:dyDescent="0.25">
      <c r="A3433" s="170"/>
      <c r="B3433" s="170"/>
    </row>
    <row r="3434" spans="1:2" x14ac:dyDescent="0.25">
      <c r="A3434" s="170"/>
      <c r="B3434" s="170"/>
    </row>
    <row r="3435" spans="1:2" x14ac:dyDescent="0.25">
      <c r="A3435" s="170"/>
      <c r="B3435" s="170"/>
    </row>
    <row r="3436" spans="1:2" x14ac:dyDescent="0.25">
      <c r="A3436" s="170"/>
      <c r="B3436" s="170"/>
    </row>
    <row r="3437" spans="1:2" x14ac:dyDescent="0.25">
      <c r="A3437" s="170"/>
      <c r="B3437" s="170"/>
    </row>
    <row r="3438" spans="1:2" x14ac:dyDescent="0.25">
      <c r="A3438" s="170"/>
      <c r="B3438" s="170"/>
    </row>
    <row r="3439" spans="1:2" x14ac:dyDescent="0.25">
      <c r="A3439" s="170"/>
      <c r="B3439" s="170"/>
    </row>
    <row r="3440" spans="1:2" x14ac:dyDescent="0.25">
      <c r="A3440" s="170"/>
      <c r="B3440" s="170"/>
    </row>
    <row r="3441" spans="1:2" x14ac:dyDescent="0.25">
      <c r="A3441" s="170"/>
      <c r="B3441" s="170"/>
    </row>
    <row r="3442" spans="1:2" x14ac:dyDescent="0.25">
      <c r="A3442" s="170"/>
      <c r="B3442" s="170"/>
    </row>
    <row r="3443" spans="1:2" x14ac:dyDescent="0.25">
      <c r="A3443" s="170"/>
      <c r="B3443" s="170"/>
    </row>
    <row r="3444" spans="1:2" x14ac:dyDescent="0.25">
      <c r="A3444" s="170"/>
      <c r="B3444" s="170"/>
    </row>
    <row r="3445" spans="1:2" x14ac:dyDescent="0.25">
      <c r="A3445" s="170"/>
      <c r="B3445" s="170"/>
    </row>
    <row r="3446" spans="1:2" x14ac:dyDescent="0.25">
      <c r="A3446" s="170"/>
      <c r="B3446" s="170"/>
    </row>
    <row r="3447" spans="1:2" x14ac:dyDescent="0.25">
      <c r="A3447" s="170"/>
      <c r="B3447" s="170"/>
    </row>
    <row r="3448" spans="1:2" x14ac:dyDescent="0.25">
      <c r="A3448" s="170"/>
      <c r="B3448" s="170"/>
    </row>
    <row r="3449" spans="1:2" x14ac:dyDescent="0.25">
      <c r="A3449" s="170"/>
      <c r="B3449" s="170"/>
    </row>
    <row r="3450" spans="1:2" x14ac:dyDescent="0.25">
      <c r="A3450" s="170"/>
      <c r="B3450" s="170"/>
    </row>
    <row r="3451" spans="1:2" x14ac:dyDescent="0.25">
      <c r="A3451" s="170"/>
      <c r="B3451" s="170"/>
    </row>
    <row r="3452" spans="1:2" x14ac:dyDescent="0.25">
      <c r="A3452" s="170"/>
      <c r="B3452" s="170"/>
    </row>
    <row r="3453" spans="1:2" x14ac:dyDescent="0.25">
      <c r="A3453" s="170"/>
      <c r="B3453" s="170"/>
    </row>
    <row r="3454" spans="1:2" x14ac:dyDescent="0.25">
      <c r="A3454" s="170"/>
      <c r="B3454" s="170"/>
    </row>
    <row r="3455" spans="1:2" x14ac:dyDescent="0.25">
      <c r="A3455" s="170"/>
      <c r="B3455" s="170"/>
    </row>
    <row r="3456" spans="1:2" x14ac:dyDescent="0.25">
      <c r="A3456" s="170"/>
      <c r="B3456" s="170"/>
    </row>
    <row r="3457" spans="1:2" x14ac:dyDescent="0.25">
      <c r="A3457" s="170"/>
      <c r="B3457" s="170"/>
    </row>
    <row r="3458" spans="1:2" x14ac:dyDescent="0.25">
      <c r="A3458" s="170"/>
      <c r="B3458" s="170"/>
    </row>
    <row r="3459" spans="1:2" x14ac:dyDescent="0.25">
      <c r="A3459" s="170"/>
      <c r="B3459" s="170"/>
    </row>
    <row r="3460" spans="1:2" x14ac:dyDescent="0.25">
      <c r="A3460" s="170"/>
      <c r="B3460" s="170"/>
    </row>
    <row r="3461" spans="1:2" x14ac:dyDescent="0.25">
      <c r="A3461" s="170"/>
      <c r="B3461" s="170"/>
    </row>
    <row r="3462" spans="1:2" x14ac:dyDescent="0.25">
      <c r="A3462" s="170"/>
      <c r="B3462" s="170"/>
    </row>
    <row r="3463" spans="1:2" x14ac:dyDescent="0.25">
      <c r="A3463" s="170"/>
      <c r="B3463" s="170"/>
    </row>
    <row r="3464" spans="1:2" x14ac:dyDescent="0.25">
      <c r="A3464" s="170"/>
      <c r="B3464" s="170"/>
    </row>
    <row r="3465" spans="1:2" x14ac:dyDescent="0.25">
      <c r="A3465" s="170"/>
      <c r="B3465" s="170"/>
    </row>
    <row r="3466" spans="1:2" x14ac:dyDescent="0.25">
      <c r="A3466" s="170"/>
      <c r="B3466" s="170"/>
    </row>
    <row r="3467" spans="1:2" x14ac:dyDescent="0.25">
      <c r="A3467" s="170"/>
      <c r="B3467" s="170"/>
    </row>
    <row r="3468" spans="1:2" x14ac:dyDescent="0.25">
      <c r="A3468" s="170"/>
      <c r="B3468" s="170"/>
    </row>
    <row r="3469" spans="1:2" x14ac:dyDescent="0.25">
      <c r="A3469" s="170"/>
      <c r="B3469" s="170"/>
    </row>
    <row r="3470" spans="1:2" x14ac:dyDescent="0.25">
      <c r="A3470" s="170"/>
      <c r="B3470" s="170"/>
    </row>
    <row r="3471" spans="1:2" x14ac:dyDescent="0.25">
      <c r="A3471" s="170"/>
      <c r="B3471" s="170"/>
    </row>
    <row r="3472" spans="1:2" x14ac:dyDescent="0.25">
      <c r="A3472" s="170"/>
      <c r="B3472" s="170"/>
    </row>
    <row r="3473" spans="1:2" x14ac:dyDescent="0.25">
      <c r="A3473" s="170"/>
      <c r="B3473" s="170"/>
    </row>
    <row r="3474" spans="1:2" x14ac:dyDescent="0.25">
      <c r="A3474" s="170"/>
      <c r="B3474" s="170"/>
    </row>
    <row r="3475" spans="1:2" x14ac:dyDescent="0.25">
      <c r="A3475" s="170"/>
      <c r="B3475" s="170"/>
    </row>
    <row r="3476" spans="1:2" x14ac:dyDescent="0.25">
      <c r="A3476" s="170"/>
      <c r="B3476" s="170"/>
    </row>
    <row r="3477" spans="1:2" x14ac:dyDescent="0.25">
      <c r="A3477" s="170"/>
      <c r="B3477" s="170"/>
    </row>
    <row r="3478" spans="1:2" x14ac:dyDescent="0.25">
      <c r="A3478" s="170"/>
      <c r="B3478" s="170"/>
    </row>
    <row r="3479" spans="1:2" x14ac:dyDescent="0.25">
      <c r="A3479" s="170"/>
      <c r="B3479" s="170"/>
    </row>
    <row r="3480" spans="1:2" x14ac:dyDescent="0.25">
      <c r="A3480" s="170"/>
      <c r="B3480" s="170"/>
    </row>
    <row r="3481" spans="1:2" x14ac:dyDescent="0.25">
      <c r="A3481" s="170"/>
      <c r="B3481" s="170"/>
    </row>
    <row r="3482" spans="1:2" x14ac:dyDescent="0.25">
      <c r="A3482" s="170"/>
      <c r="B3482" s="170"/>
    </row>
    <row r="3483" spans="1:2" x14ac:dyDescent="0.25">
      <c r="A3483" s="170"/>
      <c r="B3483" s="170"/>
    </row>
    <row r="3484" spans="1:2" x14ac:dyDescent="0.25">
      <c r="A3484" s="170"/>
      <c r="B3484" s="170"/>
    </row>
    <row r="3485" spans="1:2" x14ac:dyDescent="0.25">
      <c r="A3485" s="170"/>
      <c r="B3485" s="170"/>
    </row>
    <row r="3486" spans="1:2" x14ac:dyDescent="0.25">
      <c r="A3486" s="170"/>
      <c r="B3486" s="170"/>
    </row>
    <row r="3487" spans="1:2" x14ac:dyDescent="0.25">
      <c r="A3487" s="170"/>
      <c r="B3487" s="170"/>
    </row>
    <row r="3488" spans="1:2" x14ac:dyDescent="0.25">
      <c r="A3488" s="170"/>
      <c r="B3488" s="170"/>
    </row>
    <row r="3489" spans="1:2" x14ac:dyDescent="0.25">
      <c r="A3489" s="170"/>
      <c r="B3489" s="170"/>
    </row>
    <row r="3490" spans="1:2" x14ac:dyDescent="0.25">
      <c r="A3490" s="170"/>
      <c r="B3490" s="170"/>
    </row>
    <row r="3491" spans="1:2" x14ac:dyDescent="0.25">
      <c r="A3491" s="170"/>
      <c r="B3491" s="170"/>
    </row>
    <row r="3492" spans="1:2" x14ac:dyDescent="0.25">
      <c r="A3492" s="170"/>
      <c r="B3492" s="170"/>
    </row>
    <row r="3493" spans="1:2" x14ac:dyDescent="0.25">
      <c r="A3493" s="170"/>
      <c r="B3493" s="170"/>
    </row>
    <row r="3494" spans="1:2" x14ac:dyDescent="0.25">
      <c r="A3494" s="170"/>
      <c r="B3494" s="170"/>
    </row>
    <row r="3495" spans="1:2" x14ac:dyDescent="0.25">
      <c r="A3495" s="170"/>
      <c r="B3495" s="170"/>
    </row>
    <row r="3496" spans="1:2" x14ac:dyDescent="0.25">
      <c r="A3496" s="170"/>
      <c r="B3496" s="170"/>
    </row>
    <row r="3497" spans="1:2" x14ac:dyDescent="0.25">
      <c r="A3497" s="170"/>
      <c r="B3497" s="170"/>
    </row>
    <row r="3498" spans="1:2" x14ac:dyDescent="0.25">
      <c r="A3498" s="170"/>
      <c r="B3498" s="170"/>
    </row>
    <row r="3499" spans="1:2" x14ac:dyDescent="0.25">
      <c r="A3499" s="170"/>
      <c r="B3499" s="170"/>
    </row>
    <row r="3500" spans="1:2" x14ac:dyDescent="0.25">
      <c r="A3500" s="170"/>
      <c r="B3500" s="170"/>
    </row>
    <row r="3501" spans="1:2" x14ac:dyDescent="0.25">
      <c r="A3501" s="170"/>
      <c r="B3501" s="170"/>
    </row>
    <row r="3502" spans="1:2" x14ac:dyDescent="0.25">
      <c r="A3502" s="170"/>
      <c r="B3502" s="170"/>
    </row>
    <row r="3503" spans="1:2" x14ac:dyDescent="0.25">
      <c r="A3503" s="170"/>
      <c r="B3503" s="170"/>
    </row>
    <row r="3504" spans="1:2" x14ac:dyDescent="0.25">
      <c r="A3504" s="170"/>
      <c r="B3504" s="170"/>
    </row>
    <row r="3505" spans="1:2" x14ac:dyDescent="0.25">
      <c r="A3505" s="170"/>
      <c r="B3505" s="170"/>
    </row>
    <row r="3506" spans="1:2" x14ac:dyDescent="0.25">
      <c r="A3506" s="170"/>
      <c r="B3506" s="170"/>
    </row>
    <row r="3507" spans="1:2" x14ac:dyDescent="0.25">
      <c r="A3507" s="170"/>
      <c r="B3507" s="170"/>
    </row>
    <row r="3508" spans="1:2" x14ac:dyDescent="0.25">
      <c r="A3508" s="170"/>
      <c r="B3508" s="170"/>
    </row>
    <row r="3509" spans="1:2" x14ac:dyDescent="0.25">
      <c r="A3509" s="170"/>
      <c r="B3509" s="170"/>
    </row>
    <row r="3510" spans="1:2" x14ac:dyDescent="0.25">
      <c r="A3510" s="170"/>
      <c r="B3510" s="170"/>
    </row>
    <row r="3511" spans="1:2" x14ac:dyDescent="0.25">
      <c r="A3511" s="170"/>
      <c r="B3511" s="170"/>
    </row>
    <row r="3512" spans="1:2" x14ac:dyDescent="0.25">
      <c r="A3512" s="170"/>
      <c r="B3512" s="170"/>
    </row>
    <row r="3513" spans="1:2" x14ac:dyDescent="0.25">
      <c r="A3513" s="170"/>
      <c r="B3513" s="170"/>
    </row>
    <row r="3514" spans="1:2" x14ac:dyDescent="0.25">
      <c r="A3514" s="170"/>
      <c r="B3514" s="170"/>
    </row>
    <row r="3515" spans="1:2" x14ac:dyDescent="0.25">
      <c r="A3515" s="170"/>
      <c r="B3515" s="170"/>
    </row>
    <row r="3516" spans="1:2" x14ac:dyDescent="0.25">
      <c r="A3516" s="170"/>
      <c r="B3516" s="170"/>
    </row>
    <row r="3517" spans="1:2" x14ac:dyDescent="0.25">
      <c r="A3517" s="170"/>
      <c r="B3517" s="170"/>
    </row>
    <row r="3518" spans="1:2" x14ac:dyDescent="0.25">
      <c r="A3518" s="170"/>
      <c r="B3518" s="170"/>
    </row>
    <row r="3519" spans="1:2" x14ac:dyDescent="0.25">
      <c r="A3519" s="170"/>
      <c r="B3519" s="170"/>
    </row>
    <row r="3520" spans="1:2" x14ac:dyDescent="0.25">
      <c r="A3520" s="170"/>
      <c r="B3520" s="170"/>
    </row>
    <row r="3521" spans="1:2" x14ac:dyDescent="0.25">
      <c r="A3521" s="170"/>
      <c r="B3521" s="170"/>
    </row>
    <row r="3522" spans="1:2" x14ac:dyDescent="0.25">
      <c r="A3522" s="170"/>
      <c r="B3522" s="170"/>
    </row>
    <row r="3523" spans="1:2" x14ac:dyDescent="0.25">
      <c r="A3523" s="170"/>
      <c r="B3523" s="170"/>
    </row>
    <row r="3524" spans="1:2" x14ac:dyDescent="0.25">
      <c r="A3524" s="170"/>
      <c r="B3524" s="170"/>
    </row>
    <row r="3525" spans="1:2" x14ac:dyDescent="0.25">
      <c r="A3525" s="170"/>
      <c r="B3525" s="170"/>
    </row>
    <row r="3526" spans="1:2" x14ac:dyDescent="0.25">
      <c r="A3526" s="170"/>
      <c r="B3526" s="170"/>
    </row>
    <row r="3527" spans="1:2" x14ac:dyDescent="0.25">
      <c r="A3527" s="170"/>
      <c r="B3527" s="170"/>
    </row>
    <row r="3528" spans="1:2" x14ac:dyDescent="0.25">
      <c r="A3528" s="170"/>
      <c r="B3528" s="170"/>
    </row>
    <row r="3529" spans="1:2" x14ac:dyDescent="0.25">
      <c r="A3529" s="170"/>
      <c r="B3529" s="170"/>
    </row>
    <row r="3530" spans="1:2" x14ac:dyDescent="0.25">
      <c r="A3530" s="170"/>
      <c r="B3530" s="170"/>
    </row>
    <row r="3531" spans="1:2" x14ac:dyDescent="0.25">
      <c r="A3531" s="170"/>
      <c r="B3531" s="170"/>
    </row>
    <row r="3532" spans="1:2" x14ac:dyDescent="0.25">
      <c r="A3532" s="170"/>
      <c r="B3532" s="170"/>
    </row>
    <row r="3533" spans="1:2" x14ac:dyDescent="0.25">
      <c r="A3533" s="170"/>
      <c r="B3533" s="170"/>
    </row>
    <row r="3534" spans="1:2" x14ac:dyDescent="0.25">
      <c r="A3534" s="170"/>
      <c r="B3534" s="170"/>
    </row>
    <row r="3535" spans="1:2" x14ac:dyDescent="0.25">
      <c r="A3535" s="170"/>
      <c r="B3535" s="170"/>
    </row>
    <row r="3536" spans="1:2" x14ac:dyDescent="0.25">
      <c r="A3536" s="170"/>
      <c r="B3536" s="170"/>
    </row>
    <row r="3537" spans="1:2" x14ac:dyDescent="0.25">
      <c r="A3537" s="170"/>
      <c r="B3537" s="170"/>
    </row>
    <row r="3538" spans="1:2" x14ac:dyDescent="0.25">
      <c r="A3538" s="170"/>
      <c r="B3538" s="170"/>
    </row>
    <row r="3539" spans="1:2" x14ac:dyDescent="0.25">
      <c r="A3539" s="170"/>
      <c r="B3539" s="170"/>
    </row>
    <row r="3540" spans="1:2" x14ac:dyDescent="0.25">
      <c r="A3540" s="170"/>
      <c r="B3540" s="170"/>
    </row>
    <row r="3541" spans="1:2" x14ac:dyDescent="0.25">
      <c r="A3541" s="170"/>
      <c r="B3541" s="170"/>
    </row>
    <row r="3542" spans="1:2" x14ac:dyDescent="0.25">
      <c r="A3542" s="170"/>
      <c r="B3542" s="170"/>
    </row>
    <row r="3543" spans="1:2" x14ac:dyDescent="0.25">
      <c r="A3543" s="170"/>
      <c r="B3543" s="170"/>
    </row>
    <row r="3544" spans="1:2" x14ac:dyDescent="0.25">
      <c r="A3544" s="170"/>
      <c r="B3544" s="170"/>
    </row>
    <row r="3545" spans="1:2" x14ac:dyDescent="0.25">
      <c r="A3545" s="170"/>
      <c r="B3545" s="170"/>
    </row>
    <row r="3546" spans="1:2" x14ac:dyDescent="0.25">
      <c r="A3546" s="170"/>
      <c r="B3546" s="170"/>
    </row>
    <row r="3547" spans="1:2" x14ac:dyDescent="0.25">
      <c r="A3547" s="170"/>
      <c r="B3547" s="170"/>
    </row>
    <row r="3548" spans="1:2" x14ac:dyDescent="0.25">
      <c r="A3548" s="170"/>
      <c r="B3548" s="170"/>
    </row>
    <row r="3549" spans="1:2" x14ac:dyDescent="0.25">
      <c r="A3549" s="170"/>
      <c r="B3549" s="170"/>
    </row>
    <row r="3550" spans="1:2" x14ac:dyDescent="0.25">
      <c r="A3550" s="170"/>
      <c r="B3550" s="170"/>
    </row>
    <row r="3551" spans="1:2" x14ac:dyDescent="0.25">
      <c r="A3551" s="170"/>
      <c r="B3551" s="170"/>
    </row>
    <row r="3552" spans="1:2" x14ac:dyDescent="0.25">
      <c r="A3552" s="170"/>
      <c r="B3552" s="170"/>
    </row>
    <row r="3553" spans="1:2" x14ac:dyDescent="0.25">
      <c r="A3553" s="170"/>
      <c r="B3553" s="170"/>
    </row>
    <row r="3554" spans="1:2" x14ac:dyDescent="0.25">
      <c r="A3554" s="170"/>
      <c r="B3554" s="170"/>
    </row>
    <row r="3555" spans="1:2" x14ac:dyDescent="0.25">
      <c r="A3555" s="170"/>
      <c r="B3555" s="170"/>
    </row>
    <row r="3556" spans="1:2" x14ac:dyDescent="0.25">
      <c r="A3556" s="170"/>
      <c r="B3556" s="170"/>
    </row>
    <row r="3557" spans="1:2" x14ac:dyDescent="0.25">
      <c r="A3557" s="170"/>
      <c r="B3557" s="170"/>
    </row>
    <row r="3558" spans="1:2" x14ac:dyDescent="0.25">
      <c r="A3558" s="170"/>
      <c r="B3558" s="170"/>
    </row>
    <row r="3559" spans="1:2" x14ac:dyDescent="0.25">
      <c r="A3559" s="170"/>
      <c r="B3559" s="170"/>
    </row>
    <row r="3560" spans="1:2" x14ac:dyDescent="0.25">
      <c r="A3560" s="170"/>
      <c r="B3560" s="170"/>
    </row>
    <row r="3561" spans="1:2" x14ac:dyDescent="0.25">
      <c r="A3561" s="170"/>
      <c r="B3561" s="170"/>
    </row>
    <row r="3562" spans="1:2" x14ac:dyDescent="0.25">
      <c r="A3562" s="170"/>
      <c r="B3562" s="170"/>
    </row>
    <row r="3563" spans="1:2" x14ac:dyDescent="0.25">
      <c r="A3563" s="170"/>
      <c r="B3563" s="170"/>
    </row>
    <row r="3564" spans="1:2" x14ac:dyDescent="0.25">
      <c r="A3564" s="170"/>
      <c r="B3564" s="170"/>
    </row>
    <row r="3565" spans="1:2" x14ac:dyDescent="0.25">
      <c r="A3565" s="170"/>
      <c r="B3565" s="170"/>
    </row>
    <row r="3566" spans="1:2" x14ac:dyDescent="0.25">
      <c r="A3566" s="170"/>
      <c r="B3566" s="170"/>
    </row>
    <row r="3567" spans="1:2" x14ac:dyDescent="0.25">
      <c r="A3567" s="170"/>
      <c r="B3567" s="170"/>
    </row>
    <row r="3568" spans="1:2" x14ac:dyDescent="0.25">
      <c r="A3568" s="170"/>
      <c r="B3568" s="170"/>
    </row>
    <row r="3569" spans="1:2" x14ac:dyDescent="0.25">
      <c r="A3569" s="170"/>
      <c r="B3569" s="170"/>
    </row>
    <row r="3570" spans="1:2" x14ac:dyDescent="0.25">
      <c r="A3570" s="170"/>
      <c r="B3570" s="170"/>
    </row>
    <row r="3571" spans="1:2" x14ac:dyDescent="0.25">
      <c r="A3571" s="170"/>
      <c r="B3571" s="170"/>
    </row>
    <row r="3572" spans="1:2" x14ac:dyDescent="0.25">
      <c r="A3572" s="170"/>
      <c r="B3572" s="170"/>
    </row>
    <row r="3573" spans="1:2" x14ac:dyDescent="0.25">
      <c r="A3573" s="170"/>
      <c r="B3573" s="170"/>
    </row>
    <row r="3574" spans="1:2" x14ac:dyDescent="0.25">
      <c r="A3574" s="170"/>
      <c r="B3574" s="170"/>
    </row>
    <row r="3575" spans="1:2" x14ac:dyDescent="0.25">
      <c r="A3575" s="170"/>
      <c r="B3575" s="170"/>
    </row>
    <row r="3576" spans="1:2" x14ac:dyDescent="0.25">
      <c r="A3576" s="170"/>
      <c r="B3576" s="170"/>
    </row>
    <row r="3577" spans="1:2" x14ac:dyDescent="0.25">
      <c r="A3577" s="170"/>
      <c r="B3577" s="170"/>
    </row>
    <row r="3578" spans="1:2" x14ac:dyDescent="0.25">
      <c r="A3578" s="170"/>
      <c r="B3578" s="170"/>
    </row>
    <row r="3579" spans="1:2" x14ac:dyDescent="0.25">
      <c r="A3579" s="170"/>
      <c r="B3579" s="170"/>
    </row>
    <row r="3580" spans="1:2" x14ac:dyDescent="0.25">
      <c r="A3580" s="170"/>
      <c r="B3580" s="170"/>
    </row>
    <row r="3581" spans="1:2" x14ac:dyDescent="0.25">
      <c r="A3581" s="170"/>
      <c r="B3581" s="170"/>
    </row>
    <row r="3582" spans="1:2" x14ac:dyDescent="0.25">
      <c r="A3582" s="170"/>
      <c r="B3582" s="170"/>
    </row>
    <row r="3583" spans="1:2" x14ac:dyDescent="0.25">
      <c r="A3583" s="170"/>
      <c r="B3583" s="170"/>
    </row>
    <row r="3584" spans="1:2" x14ac:dyDescent="0.25">
      <c r="A3584" s="170"/>
      <c r="B3584" s="170"/>
    </row>
    <row r="3585" spans="1:2" x14ac:dyDescent="0.25">
      <c r="A3585" s="170"/>
      <c r="B3585" s="170"/>
    </row>
    <row r="3586" spans="1:2" x14ac:dyDescent="0.25">
      <c r="A3586" s="170"/>
      <c r="B3586" s="170"/>
    </row>
    <row r="3587" spans="1:2" x14ac:dyDescent="0.25">
      <c r="A3587" s="170"/>
      <c r="B3587" s="170"/>
    </row>
    <row r="3588" spans="1:2" x14ac:dyDescent="0.25">
      <c r="A3588" s="170"/>
      <c r="B3588" s="170"/>
    </row>
    <row r="3589" spans="1:2" x14ac:dyDescent="0.25">
      <c r="A3589" s="170"/>
      <c r="B3589" s="170"/>
    </row>
    <row r="3590" spans="1:2" x14ac:dyDescent="0.25">
      <c r="A3590" s="170"/>
      <c r="B3590" s="170"/>
    </row>
    <row r="3591" spans="1:2" x14ac:dyDescent="0.25">
      <c r="A3591" s="170"/>
      <c r="B3591" s="170"/>
    </row>
    <row r="3592" spans="1:2" x14ac:dyDescent="0.25">
      <c r="A3592" s="170"/>
      <c r="B3592" s="170"/>
    </row>
    <row r="3593" spans="1:2" x14ac:dyDescent="0.25">
      <c r="A3593" s="170"/>
      <c r="B3593" s="170"/>
    </row>
    <row r="3594" spans="1:2" x14ac:dyDescent="0.25">
      <c r="A3594" s="170"/>
      <c r="B3594" s="170"/>
    </row>
    <row r="3595" spans="1:2" x14ac:dyDescent="0.25">
      <c r="A3595" s="170"/>
      <c r="B3595" s="170"/>
    </row>
    <row r="3596" spans="1:2" x14ac:dyDescent="0.25">
      <c r="A3596" s="170"/>
      <c r="B3596" s="170"/>
    </row>
    <row r="3597" spans="1:2" x14ac:dyDescent="0.25">
      <c r="A3597" s="170"/>
      <c r="B3597" s="170"/>
    </row>
    <row r="3598" spans="1:2" x14ac:dyDescent="0.25">
      <c r="A3598" s="170"/>
      <c r="B3598" s="170"/>
    </row>
    <row r="3599" spans="1:2" x14ac:dyDescent="0.25">
      <c r="A3599" s="170"/>
      <c r="B3599" s="170"/>
    </row>
    <row r="3600" spans="1:2" x14ac:dyDescent="0.25">
      <c r="A3600" s="170"/>
      <c r="B3600" s="170"/>
    </row>
    <row r="3601" spans="1:2" x14ac:dyDescent="0.25">
      <c r="A3601" s="170"/>
      <c r="B3601" s="170"/>
    </row>
    <row r="3602" spans="1:2" x14ac:dyDescent="0.25">
      <c r="A3602" s="170"/>
      <c r="B3602" s="170"/>
    </row>
    <row r="3603" spans="1:2" x14ac:dyDescent="0.25">
      <c r="A3603" s="170"/>
      <c r="B3603" s="170"/>
    </row>
    <row r="3604" spans="1:2" x14ac:dyDescent="0.25">
      <c r="A3604" s="170"/>
      <c r="B3604" s="170"/>
    </row>
    <row r="3605" spans="1:2" x14ac:dyDescent="0.25">
      <c r="A3605" s="170"/>
      <c r="B3605" s="170"/>
    </row>
    <row r="3606" spans="1:2" x14ac:dyDescent="0.25">
      <c r="A3606" s="170"/>
      <c r="B3606" s="170"/>
    </row>
    <row r="3607" spans="1:2" x14ac:dyDescent="0.25">
      <c r="A3607" s="170"/>
      <c r="B3607" s="170"/>
    </row>
    <row r="3608" spans="1:2" x14ac:dyDescent="0.25">
      <c r="A3608" s="170"/>
      <c r="B3608" s="170"/>
    </row>
    <row r="3609" spans="1:2" x14ac:dyDescent="0.25">
      <c r="A3609" s="170"/>
      <c r="B3609" s="170"/>
    </row>
    <row r="3610" spans="1:2" x14ac:dyDescent="0.25">
      <c r="A3610" s="170"/>
      <c r="B3610" s="170"/>
    </row>
    <row r="3611" spans="1:2" x14ac:dyDescent="0.25">
      <c r="A3611" s="170"/>
      <c r="B3611" s="170"/>
    </row>
    <row r="3612" spans="1:2" x14ac:dyDescent="0.25">
      <c r="A3612" s="170"/>
      <c r="B3612" s="170"/>
    </row>
    <row r="3613" spans="1:2" x14ac:dyDescent="0.25">
      <c r="A3613" s="170"/>
      <c r="B3613" s="170"/>
    </row>
    <row r="3614" spans="1:2" x14ac:dyDescent="0.25">
      <c r="A3614" s="170"/>
      <c r="B3614" s="170"/>
    </row>
    <row r="3615" spans="1:2" x14ac:dyDescent="0.25">
      <c r="A3615" s="170"/>
      <c r="B3615" s="170"/>
    </row>
    <row r="3616" spans="1:2" x14ac:dyDescent="0.25">
      <c r="A3616" s="170"/>
      <c r="B3616" s="170"/>
    </row>
    <row r="3617" spans="1:2" x14ac:dyDescent="0.25">
      <c r="A3617" s="170"/>
      <c r="B3617" s="170"/>
    </row>
    <row r="3618" spans="1:2" x14ac:dyDescent="0.25">
      <c r="A3618" s="170"/>
      <c r="B3618" s="170"/>
    </row>
    <row r="3619" spans="1:2" x14ac:dyDescent="0.25">
      <c r="A3619" s="170"/>
      <c r="B3619" s="170"/>
    </row>
    <row r="3620" spans="1:2" x14ac:dyDescent="0.25">
      <c r="A3620" s="170"/>
      <c r="B3620" s="170"/>
    </row>
    <row r="3621" spans="1:2" x14ac:dyDescent="0.25">
      <c r="A3621" s="170"/>
      <c r="B3621" s="170"/>
    </row>
    <row r="3622" spans="1:2" x14ac:dyDescent="0.25">
      <c r="A3622" s="170"/>
      <c r="B3622" s="170"/>
    </row>
    <row r="3623" spans="1:2" x14ac:dyDescent="0.25">
      <c r="A3623" s="170"/>
      <c r="B3623" s="170"/>
    </row>
    <row r="3624" spans="1:2" x14ac:dyDescent="0.25">
      <c r="A3624" s="170"/>
      <c r="B3624" s="170"/>
    </row>
    <row r="3625" spans="1:2" x14ac:dyDescent="0.25">
      <c r="A3625" s="170"/>
      <c r="B3625" s="170"/>
    </row>
    <row r="3626" spans="1:2" x14ac:dyDescent="0.25">
      <c r="A3626" s="170"/>
      <c r="B3626" s="170"/>
    </row>
    <row r="3627" spans="1:2" x14ac:dyDescent="0.25">
      <c r="A3627" s="170"/>
      <c r="B3627" s="170"/>
    </row>
    <row r="3628" spans="1:2" x14ac:dyDescent="0.25">
      <c r="A3628" s="170"/>
      <c r="B3628" s="170"/>
    </row>
    <row r="3629" spans="1:2" x14ac:dyDescent="0.25">
      <c r="A3629" s="170"/>
      <c r="B3629" s="170"/>
    </row>
    <row r="3630" spans="1:2" x14ac:dyDescent="0.25">
      <c r="A3630" s="170"/>
      <c r="B3630" s="170"/>
    </row>
    <row r="3631" spans="1:2" x14ac:dyDescent="0.25">
      <c r="A3631" s="170"/>
      <c r="B3631" s="170"/>
    </row>
    <row r="3632" spans="1:2" x14ac:dyDescent="0.25">
      <c r="A3632" s="170"/>
      <c r="B3632" s="170"/>
    </row>
    <row r="3633" spans="1:2" x14ac:dyDescent="0.25">
      <c r="A3633" s="170"/>
      <c r="B3633" s="170"/>
    </row>
    <row r="3634" spans="1:2" x14ac:dyDescent="0.25">
      <c r="A3634" s="170"/>
      <c r="B3634" s="170"/>
    </row>
    <row r="3635" spans="1:2" x14ac:dyDescent="0.25">
      <c r="A3635" s="170"/>
      <c r="B3635" s="170"/>
    </row>
    <row r="3636" spans="1:2" x14ac:dyDescent="0.25">
      <c r="A3636" s="170"/>
      <c r="B3636" s="170"/>
    </row>
    <row r="3637" spans="1:2" x14ac:dyDescent="0.25">
      <c r="A3637" s="170"/>
      <c r="B3637" s="170"/>
    </row>
    <row r="3638" spans="1:2" x14ac:dyDescent="0.25">
      <c r="A3638" s="170"/>
      <c r="B3638" s="170"/>
    </row>
    <row r="3639" spans="1:2" x14ac:dyDescent="0.25">
      <c r="A3639" s="170"/>
      <c r="B3639" s="170"/>
    </row>
    <row r="3640" spans="1:2" x14ac:dyDescent="0.25">
      <c r="A3640" s="170"/>
      <c r="B3640" s="170"/>
    </row>
    <row r="3641" spans="1:2" x14ac:dyDescent="0.25">
      <c r="A3641" s="170"/>
      <c r="B3641" s="170"/>
    </row>
    <row r="3642" spans="1:2" x14ac:dyDescent="0.25">
      <c r="A3642" s="170"/>
      <c r="B3642" s="170"/>
    </row>
    <row r="3643" spans="1:2" x14ac:dyDescent="0.25">
      <c r="A3643" s="170"/>
      <c r="B3643" s="170"/>
    </row>
    <row r="3644" spans="1:2" x14ac:dyDescent="0.25">
      <c r="A3644" s="170"/>
      <c r="B3644" s="170"/>
    </row>
    <row r="3645" spans="1:2" x14ac:dyDescent="0.25">
      <c r="A3645" s="170"/>
      <c r="B3645" s="170"/>
    </row>
    <row r="3646" spans="1:2" x14ac:dyDescent="0.25">
      <c r="A3646" s="170"/>
      <c r="B3646" s="170"/>
    </row>
    <row r="3647" spans="1:2" x14ac:dyDescent="0.25">
      <c r="A3647" s="170"/>
      <c r="B3647" s="170"/>
    </row>
    <row r="3648" spans="1:2" x14ac:dyDescent="0.25">
      <c r="A3648" s="170"/>
      <c r="B3648" s="170"/>
    </row>
    <row r="3649" spans="1:2" x14ac:dyDescent="0.25">
      <c r="A3649" s="170"/>
      <c r="B3649" s="170"/>
    </row>
    <row r="3650" spans="1:2" x14ac:dyDescent="0.25">
      <c r="A3650" s="170"/>
      <c r="B3650" s="170"/>
    </row>
    <row r="3651" spans="1:2" x14ac:dyDescent="0.25">
      <c r="A3651" s="170"/>
      <c r="B3651" s="170"/>
    </row>
    <row r="3652" spans="1:2" x14ac:dyDescent="0.25">
      <c r="A3652" s="170"/>
      <c r="B3652" s="170"/>
    </row>
    <row r="3653" spans="1:2" x14ac:dyDescent="0.25">
      <c r="A3653" s="170"/>
      <c r="B3653" s="170"/>
    </row>
    <row r="3654" spans="1:2" x14ac:dyDescent="0.25">
      <c r="A3654" s="170"/>
      <c r="B3654" s="170"/>
    </row>
    <row r="3655" spans="1:2" x14ac:dyDescent="0.25">
      <c r="A3655" s="170"/>
      <c r="B3655" s="170"/>
    </row>
    <row r="3656" spans="1:2" x14ac:dyDescent="0.25">
      <c r="A3656" s="170"/>
      <c r="B3656" s="170"/>
    </row>
    <row r="3657" spans="1:2" x14ac:dyDescent="0.25">
      <c r="A3657" s="170"/>
      <c r="B3657" s="170"/>
    </row>
    <row r="3658" spans="1:2" x14ac:dyDescent="0.25">
      <c r="A3658" s="170"/>
      <c r="B3658" s="170"/>
    </row>
    <row r="3659" spans="1:2" x14ac:dyDescent="0.25">
      <c r="A3659" s="170"/>
      <c r="B3659" s="170"/>
    </row>
    <row r="3660" spans="1:2" x14ac:dyDescent="0.25">
      <c r="A3660" s="170"/>
      <c r="B3660" s="170"/>
    </row>
    <row r="3661" spans="1:2" x14ac:dyDescent="0.25">
      <c r="A3661" s="170"/>
      <c r="B3661" s="170"/>
    </row>
    <row r="3662" spans="1:2" x14ac:dyDescent="0.25">
      <c r="A3662" s="170"/>
      <c r="B3662" s="170"/>
    </row>
    <row r="3663" spans="1:2" x14ac:dyDescent="0.25">
      <c r="A3663" s="170"/>
      <c r="B3663" s="170"/>
    </row>
    <row r="3664" spans="1:2" x14ac:dyDescent="0.25">
      <c r="A3664" s="170"/>
      <c r="B3664" s="170"/>
    </row>
    <row r="3665" spans="1:2" x14ac:dyDescent="0.25">
      <c r="A3665" s="170"/>
      <c r="B3665" s="170"/>
    </row>
    <row r="3666" spans="1:2" x14ac:dyDescent="0.25">
      <c r="A3666" s="170"/>
      <c r="B3666" s="170"/>
    </row>
    <row r="3667" spans="1:2" x14ac:dyDescent="0.25">
      <c r="A3667" s="170"/>
      <c r="B3667" s="170"/>
    </row>
    <row r="3668" spans="1:2" x14ac:dyDescent="0.25">
      <c r="A3668" s="170"/>
      <c r="B3668" s="170"/>
    </row>
    <row r="3669" spans="1:2" x14ac:dyDescent="0.25">
      <c r="A3669" s="170"/>
      <c r="B3669" s="170"/>
    </row>
    <row r="3670" spans="1:2" x14ac:dyDescent="0.25">
      <c r="A3670" s="170"/>
      <c r="B3670" s="170"/>
    </row>
    <row r="3671" spans="1:2" x14ac:dyDescent="0.25">
      <c r="A3671" s="170"/>
      <c r="B3671" s="170"/>
    </row>
    <row r="3672" spans="1:2" x14ac:dyDescent="0.25">
      <c r="A3672" s="170"/>
      <c r="B3672" s="170"/>
    </row>
    <row r="3673" spans="1:2" x14ac:dyDescent="0.25">
      <c r="A3673" s="170"/>
      <c r="B3673" s="170"/>
    </row>
    <row r="3674" spans="1:2" x14ac:dyDescent="0.25">
      <c r="A3674" s="170"/>
      <c r="B3674" s="170"/>
    </row>
    <row r="3675" spans="1:2" x14ac:dyDescent="0.25">
      <c r="A3675" s="170"/>
      <c r="B3675" s="170"/>
    </row>
    <row r="3676" spans="1:2" x14ac:dyDescent="0.25">
      <c r="A3676" s="170"/>
      <c r="B3676" s="170"/>
    </row>
    <row r="3677" spans="1:2" x14ac:dyDescent="0.25">
      <c r="A3677" s="170"/>
      <c r="B3677" s="170"/>
    </row>
    <row r="3678" spans="1:2" x14ac:dyDescent="0.25">
      <c r="A3678" s="170"/>
      <c r="B3678" s="170"/>
    </row>
    <row r="3679" spans="1:2" x14ac:dyDescent="0.25">
      <c r="A3679" s="170"/>
      <c r="B3679" s="170"/>
    </row>
    <row r="3680" spans="1:2" x14ac:dyDescent="0.25">
      <c r="A3680" s="170"/>
      <c r="B3680" s="170"/>
    </row>
    <row r="3681" spans="1:2" x14ac:dyDescent="0.25">
      <c r="A3681" s="170"/>
      <c r="B3681" s="170"/>
    </row>
    <row r="3682" spans="1:2" x14ac:dyDescent="0.25">
      <c r="A3682" s="170"/>
      <c r="B3682" s="170"/>
    </row>
    <row r="3683" spans="1:2" x14ac:dyDescent="0.25">
      <c r="A3683" s="170"/>
      <c r="B3683" s="170"/>
    </row>
    <row r="3684" spans="1:2" x14ac:dyDescent="0.25">
      <c r="A3684" s="170"/>
      <c r="B3684" s="170"/>
    </row>
    <row r="3685" spans="1:2" x14ac:dyDescent="0.25">
      <c r="A3685" s="170"/>
      <c r="B3685" s="170"/>
    </row>
    <row r="3686" spans="1:2" x14ac:dyDescent="0.25">
      <c r="A3686" s="170"/>
      <c r="B3686" s="170"/>
    </row>
    <row r="3687" spans="1:2" x14ac:dyDescent="0.25">
      <c r="A3687" s="170"/>
      <c r="B3687" s="170"/>
    </row>
    <row r="3688" spans="1:2" x14ac:dyDescent="0.25">
      <c r="A3688" s="170"/>
      <c r="B3688" s="170"/>
    </row>
    <row r="3689" spans="1:2" x14ac:dyDescent="0.25">
      <c r="A3689" s="170"/>
      <c r="B3689" s="170"/>
    </row>
    <row r="3690" spans="1:2" x14ac:dyDescent="0.25">
      <c r="A3690" s="170"/>
      <c r="B3690" s="170"/>
    </row>
    <row r="3691" spans="1:2" x14ac:dyDescent="0.25">
      <c r="A3691" s="170"/>
      <c r="B3691" s="170"/>
    </row>
    <row r="3692" spans="1:2" x14ac:dyDescent="0.25">
      <c r="A3692" s="170"/>
      <c r="B3692" s="170"/>
    </row>
    <row r="3693" spans="1:2" x14ac:dyDescent="0.25">
      <c r="A3693" s="170"/>
      <c r="B3693" s="170"/>
    </row>
    <row r="3694" spans="1:2" x14ac:dyDescent="0.25">
      <c r="A3694" s="170"/>
      <c r="B3694" s="170"/>
    </row>
    <row r="3695" spans="1:2" x14ac:dyDescent="0.25">
      <c r="A3695" s="170"/>
      <c r="B3695" s="170"/>
    </row>
    <row r="3696" spans="1:2" x14ac:dyDescent="0.25">
      <c r="A3696" s="170"/>
      <c r="B3696" s="170"/>
    </row>
    <row r="3697" spans="1:2" x14ac:dyDescent="0.25">
      <c r="A3697" s="170"/>
      <c r="B3697" s="170"/>
    </row>
    <row r="3698" spans="1:2" x14ac:dyDescent="0.25">
      <c r="A3698" s="170"/>
      <c r="B3698" s="170"/>
    </row>
    <row r="3699" spans="1:2" x14ac:dyDescent="0.25">
      <c r="A3699" s="170"/>
      <c r="B3699" s="170"/>
    </row>
    <row r="3700" spans="1:2" x14ac:dyDescent="0.25">
      <c r="A3700" s="170"/>
      <c r="B3700" s="170"/>
    </row>
    <row r="3701" spans="1:2" x14ac:dyDescent="0.25">
      <c r="A3701" s="170"/>
      <c r="B3701" s="170"/>
    </row>
    <row r="3702" spans="1:2" x14ac:dyDescent="0.25">
      <c r="A3702" s="170"/>
      <c r="B3702" s="170"/>
    </row>
    <row r="3703" spans="1:2" x14ac:dyDescent="0.25">
      <c r="A3703" s="170"/>
      <c r="B3703" s="170"/>
    </row>
    <row r="3704" spans="1:2" x14ac:dyDescent="0.25">
      <c r="A3704" s="170"/>
      <c r="B3704" s="170"/>
    </row>
    <row r="3705" spans="1:2" x14ac:dyDescent="0.25">
      <c r="A3705" s="170"/>
      <c r="B3705" s="170"/>
    </row>
    <row r="3706" spans="1:2" x14ac:dyDescent="0.25">
      <c r="A3706" s="170"/>
      <c r="B3706" s="170"/>
    </row>
    <row r="3707" spans="1:2" x14ac:dyDescent="0.25">
      <c r="A3707" s="170"/>
      <c r="B3707" s="170"/>
    </row>
    <row r="3708" spans="1:2" x14ac:dyDescent="0.25">
      <c r="A3708" s="170"/>
      <c r="B3708" s="170"/>
    </row>
    <row r="3709" spans="1:2" x14ac:dyDescent="0.25">
      <c r="A3709" s="170"/>
      <c r="B3709" s="170"/>
    </row>
    <row r="3710" spans="1:2" x14ac:dyDescent="0.25">
      <c r="A3710" s="170"/>
      <c r="B3710" s="170"/>
    </row>
    <row r="3711" spans="1:2" x14ac:dyDescent="0.25">
      <c r="A3711" s="170"/>
      <c r="B3711" s="170"/>
    </row>
    <row r="3712" spans="1:2" x14ac:dyDescent="0.25">
      <c r="A3712" s="170"/>
      <c r="B3712" s="170"/>
    </row>
    <row r="3713" spans="1:2" x14ac:dyDescent="0.25">
      <c r="A3713" s="170"/>
      <c r="B3713" s="170"/>
    </row>
    <row r="3714" spans="1:2" x14ac:dyDescent="0.25">
      <c r="A3714" s="170"/>
      <c r="B3714" s="170"/>
    </row>
    <row r="3715" spans="1:2" x14ac:dyDescent="0.25">
      <c r="A3715" s="170"/>
      <c r="B3715" s="170"/>
    </row>
    <row r="3716" spans="1:2" x14ac:dyDescent="0.25">
      <c r="A3716" s="170"/>
      <c r="B3716" s="170"/>
    </row>
    <row r="3717" spans="1:2" x14ac:dyDescent="0.25">
      <c r="A3717" s="170"/>
      <c r="B3717" s="170"/>
    </row>
    <row r="3718" spans="1:2" x14ac:dyDescent="0.25">
      <c r="A3718" s="170"/>
      <c r="B3718" s="170"/>
    </row>
    <row r="3719" spans="1:2" x14ac:dyDescent="0.25">
      <c r="A3719" s="170"/>
      <c r="B3719" s="170"/>
    </row>
    <row r="3720" spans="1:2" x14ac:dyDescent="0.25">
      <c r="A3720" s="170"/>
      <c r="B3720" s="170"/>
    </row>
    <row r="3721" spans="1:2" x14ac:dyDescent="0.25">
      <c r="A3721" s="170"/>
      <c r="B3721" s="170"/>
    </row>
    <row r="3722" spans="1:2" x14ac:dyDescent="0.25">
      <c r="A3722" s="170"/>
      <c r="B3722" s="170"/>
    </row>
    <row r="3723" spans="1:2" x14ac:dyDescent="0.25">
      <c r="A3723" s="170"/>
      <c r="B3723" s="170"/>
    </row>
    <row r="3724" spans="1:2" x14ac:dyDescent="0.25">
      <c r="A3724" s="170"/>
      <c r="B3724" s="170"/>
    </row>
    <row r="3725" spans="1:2" x14ac:dyDescent="0.25">
      <c r="A3725" s="170"/>
      <c r="B3725" s="170"/>
    </row>
    <row r="3726" spans="1:2" x14ac:dyDescent="0.25">
      <c r="A3726" s="170"/>
      <c r="B3726" s="170"/>
    </row>
    <row r="3727" spans="1:2" x14ac:dyDescent="0.25">
      <c r="A3727" s="170"/>
      <c r="B3727" s="170"/>
    </row>
    <row r="3728" spans="1:2" x14ac:dyDescent="0.25">
      <c r="A3728" s="170"/>
      <c r="B3728" s="170"/>
    </row>
    <row r="3729" spans="1:2" x14ac:dyDescent="0.25">
      <c r="A3729" s="170"/>
      <c r="B3729" s="170"/>
    </row>
    <row r="3730" spans="1:2" x14ac:dyDescent="0.25">
      <c r="A3730" s="170"/>
      <c r="B3730" s="170"/>
    </row>
    <row r="3731" spans="1:2" x14ac:dyDescent="0.25">
      <c r="A3731" s="170"/>
      <c r="B3731" s="170"/>
    </row>
    <row r="3732" spans="1:2" x14ac:dyDescent="0.25">
      <c r="A3732" s="170"/>
      <c r="B3732" s="170"/>
    </row>
    <row r="3733" spans="1:2" x14ac:dyDescent="0.25">
      <c r="A3733" s="170"/>
      <c r="B3733" s="170"/>
    </row>
    <row r="3734" spans="1:2" x14ac:dyDescent="0.25">
      <c r="A3734" s="170"/>
      <c r="B3734" s="170"/>
    </row>
    <row r="3735" spans="1:2" x14ac:dyDescent="0.25">
      <c r="A3735" s="170"/>
      <c r="B3735" s="170"/>
    </row>
    <row r="3736" spans="1:2" x14ac:dyDescent="0.25">
      <c r="A3736" s="170"/>
      <c r="B3736" s="170"/>
    </row>
    <row r="3737" spans="1:2" x14ac:dyDescent="0.25">
      <c r="A3737" s="170"/>
      <c r="B3737" s="170"/>
    </row>
    <row r="3738" spans="1:2" x14ac:dyDescent="0.25">
      <c r="A3738" s="170"/>
      <c r="B3738" s="170"/>
    </row>
    <row r="3739" spans="1:2" x14ac:dyDescent="0.25">
      <c r="A3739" s="170"/>
      <c r="B3739" s="170"/>
    </row>
    <row r="3740" spans="1:2" x14ac:dyDescent="0.25">
      <c r="A3740" s="170"/>
      <c r="B3740" s="170"/>
    </row>
    <row r="3741" spans="1:2" x14ac:dyDescent="0.25">
      <c r="A3741" s="170"/>
      <c r="B3741" s="170"/>
    </row>
    <row r="3742" spans="1:2" x14ac:dyDescent="0.25">
      <c r="A3742" s="170"/>
      <c r="B3742" s="170"/>
    </row>
    <row r="3743" spans="1:2" x14ac:dyDescent="0.25">
      <c r="A3743" s="170"/>
      <c r="B3743" s="170"/>
    </row>
    <row r="3744" spans="1:2" x14ac:dyDescent="0.25">
      <c r="A3744" s="170"/>
      <c r="B3744" s="170"/>
    </row>
    <row r="3745" spans="1:2" x14ac:dyDescent="0.25">
      <c r="A3745" s="170"/>
      <c r="B3745" s="170"/>
    </row>
    <row r="3746" spans="1:2" x14ac:dyDescent="0.25">
      <c r="A3746" s="170"/>
      <c r="B3746" s="170"/>
    </row>
    <row r="3747" spans="1:2" x14ac:dyDescent="0.25">
      <c r="A3747" s="170"/>
      <c r="B3747" s="170"/>
    </row>
    <row r="3748" spans="1:2" x14ac:dyDescent="0.25">
      <c r="A3748" s="170"/>
      <c r="B3748" s="170"/>
    </row>
    <row r="3749" spans="1:2" x14ac:dyDescent="0.25">
      <c r="A3749" s="170"/>
      <c r="B3749" s="170"/>
    </row>
    <row r="3750" spans="1:2" x14ac:dyDescent="0.25">
      <c r="A3750" s="170"/>
      <c r="B3750" s="170"/>
    </row>
    <row r="3751" spans="1:2" x14ac:dyDescent="0.25">
      <c r="A3751" s="170"/>
      <c r="B3751" s="170"/>
    </row>
    <row r="3752" spans="1:2" x14ac:dyDescent="0.25">
      <c r="A3752" s="170"/>
      <c r="B3752" s="170"/>
    </row>
    <row r="3753" spans="1:2" x14ac:dyDescent="0.25">
      <c r="A3753" s="170"/>
      <c r="B3753" s="170"/>
    </row>
    <row r="3754" spans="1:2" x14ac:dyDescent="0.25">
      <c r="A3754" s="170"/>
      <c r="B3754" s="170"/>
    </row>
    <row r="3755" spans="1:2" x14ac:dyDescent="0.25">
      <c r="A3755" s="170"/>
      <c r="B3755" s="170"/>
    </row>
    <row r="3756" spans="1:2" x14ac:dyDescent="0.25">
      <c r="A3756" s="170"/>
      <c r="B3756" s="170"/>
    </row>
    <row r="3757" spans="1:2" x14ac:dyDescent="0.25">
      <c r="A3757" s="170"/>
      <c r="B3757" s="170"/>
    </row>
    <row r="3758" spans="1:2" x14ac:dyDescent="0.25">
      <c r="A3758" s="170"/>
      <c r="B3758" s="170"/>
    </row>
    <row r="3759" spans="1:2" x14ac:dyDescent="0.25">
      <c r="A3759" s="170"/>
      <c r="B3759" s="170"/>
    </row>
    <row r="3760" spans="1:2" x14ac:dyDescent="0.25">
      <c r="A3760" s="170"/>
      <c r="B3760" s="170"/>
    </row>
    <row r="3761" spans="1:2" x14ac:dyDescent="0.25">
      <c r="A3761" s="170"/>
      <c r="B3761" s="170"/>
    </row>
    <row r="3762" spans="1:2" x14ac:dyDescent="0.25">
      <c r="A3762" s="170"/>
      <c r="B3762" s="170"/>
    </row>
    <row r="3763" spans="1:2" x14ac:dyDescent="0.25">
      <c r="A3763" s="170"/>
      <c r="B3763" s="170"/>
    </row>
    <row r="3764" spans="1:2" x14ac:dyDescent="0.25">
      <c r="A3764" s="170"/>
      <c r="B3764" s="170"/>
    </row>
    <row r="3765" spans="1:2" x14ac:dyDescent="0.25">
      <c r="A3765" s="170"/>
      <c r="B3765" s="170"/>
    </row>
    <row r="3766" spans="1:2" x14ac:dyDescent="0.25">
      <c r="A3766" s="170"/>
      <c r="B3766" s="170"/>
    </row>
    <row r="3767" spans="1:2" x14ac:dyDescent="0.25">
      <c r="A3767" s="170"/>
      <c r="B3767" s="170"/>
    </row>
    <row r="3768" spans="1:2" x14ac:dyDescent="0.25">
      <c r="A3768" s="170"/>
      <c r="B3768" s="170"/>
    </row>
    <row r="3769" spans="1:2" x14ac:dyDescent="0.25">
      <c r="A3769" s="170"/>
      <c r="B3769" s="170"/>
    </row>
    <row r="3770" spans="1:2" x14ac:dyDescent="0.25">
      <c r="A3770" s="170"/>
      <c r="B3770" s="170"/>
    </row>
    <row r="3771" spans="1:2" x14ac:dyDescent="0.25">
      <c r="A3771" s="170"/>
      <c r="B3771" s="170"/>
    </row>
    <row r="3772" spans="1:2" x14ac:dyDescent="0.25">
      <c r="A3772" s="170"/>
      <c r="B3772" s="170"/>
    </row>
    <row r="3773" spans="1:2" x14ac:dyDescent="0.25">
      <c r="A3773" s="170"/>
      <c r="B3773" s="170"/>
    </row>
    <row r="3774" spans="1:2" x14ac:dyDescent="0.25">
      <c r="A3774" s="170"/>
      <c r="B3774" s="170"/>
    </row>
    <row r="3775" spans="1:2" x14ac:dyDescent="0.25">
      <c r="A3775" s="170"/>
      <c r="B3775" s="170"/>
    </row>
    <row r="3776" spans="1:2" x14ac:dyDescent="0.25">
      <c r="A3776" s="170"/>
      <c r="B3776" s="170"/>
    </row>
    <row r="3777" spans="1:2" x14ac:dyDescent="0.25">
      <c r="A3777" s="170"/>
      <c r="B3777" s="170"/>
    </row>
    <row r="3778" spans="1:2" x14ac:dyDescent="0.25">
      <c r="A3778" s="170"/>
      <c r="B3778" s="170"/>
    </row>
    <row r="3779" spans="1:2" x14ac:dyDescent="0.25">
      <c r="A3779" s="170"/>
      <c r="B3779" s="170"/>
    </row>
    <row r="3780" spans="1:2" x14ac:dyDescent="0.25">
      <c r="A3780" s="170"/>
      <c r="B3780" s="170"/>
    </row>
    <row r="3781" spans="1:2" x14ac:dyDescent="0.25">
      <c r="A3781" s="170"/>
      <c r="B3781" s="170"/>
    </row>
    <row r="3782" spans="1:2" x14ac:dyDescent="0.25">
      <c r="A3782" s="170"/>
      <c r="B3782" s="170"/>
    </row>
    <row r="3783" spans="1:2" x14ac:dyDescent="0.25">
      <c r="A3783" s="170"/>
      <c r="B3783" s="170"/>
    </row>
    <row r="3784" spans="1:2" x14ac:dyDescent="0.25">
      <c r="A3784" s="170"/>
      <c r="B3784" s="170"/>
    </row>
    <row r="3785" spans="1:2" x14ac:dyDescent="0.25">
      <c r="A3785" s="170"/>
      <c r="B3785" s="170"/>
    </row>
    <row r="3786" spans="1:2" x14ac:dyDescent="0.25">
      <c r="A3786" s="170"/>
      <c r="B3786" s="170"/>
    </row>
    <row r="3787" spans="1:2" x14ac:dyDescent="0.25">
      <c r="A3787" s="170"/>
      <c r="B3787" s="170"/>
    </row>
    <row r="3788" spans="1:2" x14ac:dyDescent="0.25">
      <c r="A3788" s="170"/>
      <c r="B3788" s="170"/>
    </row>
    <row r="3789" spans="1:2" x14ac:dyDescent="0.25">
      <c r="A3789" s="170"/>
      <c r="B3789" s="170"/>
    </row>
    <row r="3790" spans="1:2" x14ac:dyDescent="0.25">
      <c r="A3790" s="170"/>
      <c r="B3790" s="170"/>
    </row>
    <row r="3791" spans="1:2" x14ac:dyDescent="0.25">
      <c r="A3791" s="170"/>
      <c r="B3791" s="170"/>
    </row>
    <row r="3792" spans="1:2" x14ac:dyDescent="0.25">
      <c r="A3792" s="170"/>
      <c r="B3792" s="170"/>
    </row>
    <row r="3793" spans="1:2" x14ac:dyDescent="0.25">
      <c r="A3793" s="170"/>
      <c r="B3793" s="170"/>
    </row>
    <row r="3794" spans="1:2" x14ac:dyDescent="0.25">
      <c r="A3794" s="170"/>
      <c r="B3794" s="170"/>
    </row>
    <row r="3795" spans="1:2" x14ac:dyDescent="0.25">
      <c r="A3795" s="170"/>
      <c r="B3795" s="170"/>
    </row>
    <row r="3796" spans="1:2" x14ac:dyDescent="0.25">
      <c r="A3796" s="170"/>
      <c r="B3796" s="170"/>
    </row>
    <row r="3797" spans="1:2" x14ac:dyDescent="0.25">
      <c r="A3797" s="170"/>
      <c r="B3797" s="170"/>
    </row>
    <row r="3798" spans="1:2" x14ac:dyDescent="0.25">
      <c r="A3798" s="170"/>
      <c r="B3798" s="170"/>
    </row>
    <row r="3799" spans="1:2" x14ac:dyDescent="0.25">
      <c r="A3799" s="170"/>
      <c r="B3799" s="170"/>
    </row>
    <row r="3800" spans="1:2" x14ac:dyDescent="0.25">
      <c r="A3800" s="170"/>
      <c r="B3800" s="170"/>
    </row>
    <row r="3801" spans="1:2" x14ac:dyDescent="0.25">
      <c r="A3801" s="170"/>
      <c r="B3801" s="170"/>
    </row>
    <row r="3802" spans="1:2" x14ac:dyDescent="0.25">
      <c r="A3802" s="170"/>
      <c r="B3802" s="170"/>
    </row>
    <row r="3803" spans="1:2" x14ac:dyDescent="0.25">
      <c r="A3803" s="170"/>
      <c r="B3803" s="170"/>
    </row>
    <row r="3804" spans="1:2" x14ac:dyDescent="0.25">
      <c r="A3804" s="170"/>
      <c r="B3804" s="170"/>
    </row>
    <row r="3805" spans="1:2" x14ac:dyDescent="0.25">
      <c r="A3805" s="170"/>
      <c r="B3805" s="170"/>
    </row>
    <row r="3806" spans="1:2" x14ac:dyDescent="0.25">
      <c r="A3806" s="170"/>
      <c r="B3806" s="170"/>
    </row>
    <row r="3807" spans="1:2" x14ac:dyDescent="0.25">
      <c r="A3807" s="170"/>
      <c r="B3807" s="170"/>
    </row>
    <row r="3808" spans="1:2" x14ac:dyDescent="0.25">
      <c r="A3808" s="170"/>
      <c r="B3808" s="170"/>
    </row>
    <row r="3809" spans="1:2" x14ac:dyDescent="0.25">
      <c r="A3809" s="170"/>
      <c r="B3809" s="170"/>
    </row>
    <row r="3810" spans="1:2" x14ac:dyDescent="0.25">
      <c r="A3810" s="170"/>
      <c r="B3810" s="170"/>
    </row>
    <row r="3811" spans="1:2" x14ac:dyDescent="0.25">
      <c r="A3811" s="170"/>
      <c r="B3811" s="170"/>
    </row>
    <row r="3812" spans="1:2" x14ac:dyDescent="0.25">
      <c r="A3812" s="170"/>
      <c r="B3812" s="170"/>
    </row>
    <row r="3813" spans="1:2" x14ac:dyDescent="0.25">
      <c r="A3813" s="170"/>
      <c r="B3813" s="170"/>
    </row>
    <row r="3814" spans="1:2" x14ac:dyDescent="0.25">
      <c r="A3814" s="170"/>
      <c r="B3814" s="170"/>
    </row>
    <row r="3815" spans="1:2" x14ac:dyDescent="0.25">
      <c r="A3815" s="170"/>
      <c r="B3815" s="170"/>
    </row>
    <row r="3816" spans="1:2" x14ac:dyDescent="0.25">
      <c r="A3816" s="170"/>
      <c r="B3816" s="170"/>
    </row>
    <row r="3817" spans="1:2" x14ac:dyDescent="0.25">
      <c r="A3817" s="170"/>
      <c r="B3817" s="170"/>
    </row>
    <row r="3818" spans="1:2" x14ac:dyDescent="0.25">
      <c r="A3818" s="170"/>
      <c r="B3818" s="170"/>
    </row>
    <row r="3819" spans="1:2" x14ac:dyDescent="0.25">
      <c r="A3819" s="170"/>
      <c r="B3819" s="170"/>
    </row>
    <row r="3820" spans="1:2" x14ac:dyDescent="0.25">
      <c r="A3820" s="170"/>
      <c r="B3820" s="170"/>
    </row>
    <row r="3821" spans="1:2" x14ac:dyDescent="0.25">
      <c r="A3821" s="170"/>
      <c r="B3821" s="170"/>
    </row>
    <row r="3822" spans="1:2" x14ac:dyDescent="0.25">
      <c r="A3822" s="170"/>
      <c r="B3822" s="170"/>
    </row>
    <row r="3823" spans="1:2" x14ac:dyDescent="0.25">
      <c r="A3823" s="170"/>
      <c r="B3823" s="170"/>
    </row>
    <row r="3824" spans="1:2" x14ac:dyDescent="0.25">
      <c r="A3824" s="170"/>
      <c r="B3824" s="170"/>
    </row>
    <row r="3825" spans="1:2" x14ac:dyDescent="0.25">
      <c r="A3825" s="170"/>
      <c r="B3825" s="170"/>
    </row>
    <row r="3826" spans="1:2" x14ac:dyDescent="0.25">
      <c r="A3826" s="170"/>
      <c r="B3826" s="170"/>
    </row>
    <row r="3827" spans="1:2" x14ac:dyDescent="0.25">
      <c r="A3827" s="170"/>
      <c r="B3827" s="170"/>
    </row>
    <row r="3828" spans="1:2" x14ac:dyDescent="0.25">
      <c r="A3828" s="170"/>
      <c r="B3828" s="170"/>
    </row>
    <row r="3829" spans="1:2" x14ac:dyDescent="0.25">
      <c r="A3829" s="170"/>
      <c r="B3829" s="170"/>
    </row>
    <row r="3830" spans="1:2" x14ac:dyDescent="0.25">
      <c r="A3830" s="170"/>
      <c r="B3830" s="170"/>
    </row>
    <row r="3831" spans="1:2" x14ac:dyDescent="0.25">
      <c r="A3831" s="170"/>
      <c r="B3831" s="170"/>
    </row>
    <row r="3832" spans="1:2" x14ac:dyDescent="0.25">
      <c r="A3832" s="170"/>
      <c r="B3832" s="170"/>
    </row>
    <row r="3833" spans="1:2" x14ac:dyDescent="0.25">
      <c r="A3833" s="170"/>
      <c r="B3833" s="170"/>
    </row>
    <row r="3834" spans="1:2" x14ac:dyDescent="0.25">
      <c r="A3834" s="170"/>
      <c r="B3834" s="170"/>
    </row>
    <row r="3835" spans="1:2" x14ac:dyDescent="0.25">
      <c r="A3835" s="170"/>
      <c r="B3835" s="170"/>
    </row>
    <row r="3836" spans="1:2" x14ac:dyDescent="0.25">
      <c r="A3836" s="170"/>
      <c r="B3836" s="170"/>
    </row>
    <row r="3837" spans="1:2" x14ac:dyDescent="0.25">
      <c r="A3837" s="170"/>
      <c r="B3837" s="170"/>
    </row>
    <row r="3838" spans="1:2" x14ac:dyDescent="0.25">
      <c r="A3838" s="170"/>
      <c r="B3838" s="170"/>
    </row>
    <row r="3839" spans="1:2" x14ac:dyDescent="0.25">
      <c r="A3839" s="170"/>
      <c r="B3839" s="170"/>
    </row>
    <row r="3840" spans="1:2" x14ac:dyDescent="0.25">
      <c r="A3840" s="170"/>
      <c r="B3840" s="170"/>
    </row>
    <row r="3841" spans="1:2" x14ac:dyDescent="0.25">
      <c r="A3841" s="170"/>
      <c r="B3841" s="170"/>
    </row>
    <row r="3842" spans="1:2" x14ac:dyDescent="0.25">
      <c r="A3842" s="170"/>
      <c r="B3842" s="170"/>
    </row>
    <row r="3843" spans="1:2" x14ac:dyDescent="0.25">
      <c r="A3843" s="170"/>
      <c r="B3843" s="170"/>
    </row>
    <row r="3844" spans="1:2" x14ac:dyDescent="0.25">
      <c r="A3844" s="170"/>
      <c r="B3844" s="170"/>
    </row>
    <row r="3845" spans="1:2" x14ac:dyDescent="0.25">
      <c r="A3845" s="170"/>
      <c r="B3845" s="170"/>
    </row>
    <row r="3846" spans="1:2" x14ac:dyDescent="0.25">
      <c r="A3846" s="170"/>
      <c r="B3846" s="170"/>
    </row>
    <row r="3847" spans="1:2" x14ac:dyDescent="0.25">
      <c r="A3847" s="170"/>
      <c r="B3847" s="170"/>
    </row>
    <row r="3848" spans="1:2" x14ac:dyDescent="0.25">
      <c r="A3848" s="170"/>
      <c r="B3848" s="170"/>
    </row>
    <row r="3849" spans="1:2" x14ac:dyDescent="0.25">
      <c r="A3849" s="170"/>
      <c r="B3849" s="170"/>
    </row>
    <row r="3850" spans="1:2" x14ac:dyDescent="0.25">
      <c r="A3850" s="170"/>
      <c r="B3850" s="170"/>
    </row>
    <row r="3851" spans="1:2" x14ac:dyDescent="0.25">
      <c r="A3851" s="170"/>
      <c r="B3851" s="170"/>
    </row>
    <row r="3852" spans="1:2" x14ac:dyDescent="0.25">
      <c r="A3852" s="170"/>
      <c r="B3852" s="170"/>
    </row>
    <row r="3853" spans="1:2" x14ac:dyDescent="0.25">
      <c r="A3853" s="170"/>
      <c r="B3853" s="170"/>
    </row>
    <row r="3854" spans="1:2" x14ac:dyDescent="0.25">
      <c r="A3854" s="170"/>
      <c r="B3854" s="170"/>
    </row>
    <row r="3855" spans="1:2" x14ac:dyDescent="0.25">
      <c r="A3855" s="170"/>
      <c r="B3855" s="170"/>
    </row>
    <row r="3856" spans="1:2" x14ac:dyDescent="0.25">
      <c r="A3856" s="170"/>
      <c r="B3856" s="170"/>
    </row>
    <row r="3857" spans="1:2" x14ac:dyDescent="0.25">
      <c r="A3857" s="170"/>
      <c r="B3857" s="170"/>
    </row>
    <row r="3858" spans="1:2" x14ac:dyDescent="0.25">
      <c r="A3858" s="170"/>
      <c r="B3858" s="170"/>
    </row>
    <row r="3859" spans="1:2" x14ac:dyDescent="0.25">
      <c r="A3859" s="170"/>
      <c r="B3859" s="170"/>
    </row>
    <row r="3860" spans="1:2" x14ac:dyDescent="0.25">
      <c r="A3860" s="170"/>
      <c r="B3860" s="170"/>
    </row>
    <row r="3861" spans="1:2" x14ac:dyDescent="0.25">
      <c r="A3861" s="170"/>
      <c r="B3861" s="170"/>
    </row>
    <row r="3862" spans="1:2" x14ac:dyDescent="0.25">
      <c r="A3862" s="170"/>
      <c r="B3862" s="170"/>
    </row>
    <row r="3863" spans="1:2" x14ac:dyDescent="0.25">
      <c r="A3863" s="170"/>
      <c r="B3863" s="170"/>
    </row>
    <row r="3864" spans="1:2" x14ac:dyDescent="0.25">
      <c r="A3864" s="170"/>
      <c r="B3864" s="170"/>
    </row>
    <row r="3865" spans="1:2" x14ac:dyDescent="0.25">
      <c r="A3865" s="170"/>
      <c r="B3865" s="170"/>
    </row>
    <row r="3866" spans="1:2" x14ac:dyDescent="0.25">
      <c r="A3866" s="170"/>
      <c r="B3866" s="170"/>
    </row>
    <row r="3867" spans="1:2" x14ac:dyDescent="0.25">
      <c r="A3867" s="170"/>
      <c r="B3867" s="170"/>
    </row>
    <row r="3868" spans="1:2" x14ac:dyDescent="0.25">
      <c r="A3868" s="170"/>
      <c r="B3868" s="170"/>
    </row>
    <row r="3869" spans="1:2" x14ac:dyDescent="0.25">
      <c r="A3869" s="170"/>
      <c r="B3869" s="170"/>
    </row>
    <row r="3870" spans="1:2" x14ac:dyDescent="0.25">
      <c r="A3870" s="170"/>
      <c r="B3870" s="170"/>
    </row>
    <row r="3871" spans="1:2" x14ac:dyDescent="0.25">
      <c r="A3871" s="170"/>
      <c r="B3871" s="170"/>
    </row>
    <row r="3872" spans="1:2" x14ac:dyDescent="0.25">
      <c r="A3872" s="170"/>
      <c r="B3872" s="170"/>
    </row>
    <row r="3873" spans="1:2" x14ac:dyDescent="0.25">
      <c r="A3873" s="170"/>
      <c r="B3873" s="170"/>
    </row>
    <row r="3874" spans="1:2" x14ac:dyDescent="0.25">
      <c r="A3874" s="170"/>
      <c r="B3874" s="170"/>
    </row>
    <row r="3875" spans="1:2" x14ac:dyDescent="0.25">
      <c r="A3875" s="170"/>
      <c r="B3875" s="170"/>
    </row>
    <row r="3876" spans="1:2" x14ac:dyDescent="0.25">
      <c r="A3876" s="170"/>
      <c r="B3876" s="170"/>
    </row>
    <row r="3877" spans="1:2" x14ac:dyDescent="0.25">
      <c r="A3877" s="170"/>
      <c r="B3877" s="170"/>
    </row>
    <row r="3878" spans="1:2" x14ac:dyDescent="0.25">
      <c r="A3878" s="170"/>
      <c r="B3878" s="170"/>
    </row>
    <row r="3879" spans="1:2" x14ac:dyDescent="0.25">
      <c r="A3879" s="170"/>
      <c r="B3879" s="170"/>
    </row>
    <row r="3880" spans="1:2" x14ac:dyDescent="0.25">
      <c r="A3880" s="170"/>
      <c r="B3880" s="170"/>
    </row>
    <row r="3881" spans="1:2" x14ac:dyDescent="0.25">
      <c r="A3881" s="170"/>
      <c r="B3881" s="170"/>
    </row>
    <row r="3882" spans="1:2" x14ac:dyDescent="0.25">
      <c r="A3882" s="170"/>
      <c r="B3882" s="170"/>
    </row>
    <row r="3883" spans="1:2" x14ac:dyDescent="0.25">
      <c r="A3883" s="170"/>
      <c r="B3883" s="170"/>
    </row>
    <row r="3884" spans="1:2" x14ac:dyDescent="0.25">
      <c r="A3884" s="170"/>
      <c r="B3884" s="170"/>
    </row>
    <row r="3885" spans="1:2" x14ac:dyDescent="0.25">
      <c r="A3885" s="170"/>
      <c r="B3885" s="170"/>
    </row>
    <row r="3886" spans="1:2" x14ac:dyDescent="0.25">
      <c r="A3886" s="170"/>
      <c r="B3886" s="170"/>
    </row>
    <row r="3887" spans="1:2" x14ac:dyDescent="0.25">
      <c r="A3887" s="170"/>
      <c r="B3887" s="170"/>
    </row>
    <row r="3888" spans="1:2" x14ac:dyDescent="0.25">
      <c r="A3888" s="170"/>
      <c r="B3888" s="170"/>
    </row>
    <row r="3889" spans="1:2" x14ac:dyDescent="0.25">
      <c r="A3889" s="170"/>
      <c r="B3889" s="170"/>
    </row>
    <row r="3890" spans="1:2" x14ac:dyDescent="0.25">
      <c r="A3890" s="170"/>
      <c r="B3890" s="170"/>
    </row>
    <row r="3891" spans="1:2" x14ac:dyDescent="0.25">
      <c r="A3891" s="170"/>
      <c r="B3891" s="170"/>
    </row>
    <row r="3892" spans="1:2" x14ac:dyDescent="0.25">
      <c r="A3892" s="170"/>
      <c r="B3892" s="170"/>
    </row>
    <row r="3893" spans="1:2" x14ac:dyDescent="0.25">
      <c r="A3893" s="170"/>
      <c r="B3893" s="170"/>
    </row>
    <row r="3894" spans="1:2" x14ac:dyDescent="0.25">
      <c r="A3894" s="170"/>
      <c r="B3894" s="170"/>
    </row>
    <row r="3895" spans="1:2" x14ac:dyDescent="0.25">
      <c r="A3895" s="170"/>
      <c r="B3895" s="170"/>
    </row>
    <row r="3896" spans="1:2" x14ac:dyDescent="0.25">
      <c r="A3896" s="170"/>
      <c r="B3896" s="170"/>
    </row>
    <row r="3897" spans="1:2" x14ac:dyDescent="0.25">
      <c r="A3897" s="170"/>
      <c r="B3897" s="170"/>
    </row>
    <row r="3898" spans="1:2" x14ac:dyDescent="0.25">
      <c r="A3898" s="170"/>
      <c r="B3898" s="170"/>
    </row>
    <row r="3899" spans="1:2" x14ac:dyDescent="0.25">
      <c r="A3899" s="170"/>
      <c r="B3899" s="170"/>
    </row>
    <row r="3900" spans="1:2" x14ac:dyDescent="0.25">
      <c r="A3900" s="170"/>
      <c r="B3900" s="170"/>
    </row>
    <row r="3901" spans="1:2" x14ac:dyDescent="0.25">
      <c r="A3901" s="170"/>
      <c r="B3901" s="170"/>
    </row>
    <row r="3902" spans="1:2" x14ac:dyDescent="0.25">
      <c r="A3902" s="170"/>
      <c r="B3902" s="170"/>
    </row>
    <row r="3903" spans="1:2" x14ac:dyDescent="0.25">
      <c r="A3903" s="170"/>
      <c r="B3903" s="170"/>
    </row>
    <row r="3904" spans="1:2" x14ac:dyDescent="0.25">
      <c r="A3904" s="170"/>
      <c r="B3904" s="170"/>
    </row>
    <row r="3905" spans="1:2" x14ac:dyDescent="0.25">
      <c r="A3905" s="170"/>
      <c r="B3905" s="170"/>
    </row>
    <row r="3906" spans="1:2" x14ac:dyDescent="0.25">
      <c r="A3906" s="170"/>
      <c r="B3906" s="170"/>
    </row>
    <row r="3907" spans="1:2" x14ac:dyDescent="0.25">
      <c r="A3907" s="170"/>
      <c r="B3907" s="170"/>
    </row>
    <row r="3908" spans="1:2" x14ac:dyDescent="0.25">
      <c r="A3908" s="170"/>
      <c r="B3908" s="170"/>
    </row>
    <row r="3909" spans="1:2" x14ac:dyDescent="0.25">
      <c r="A3909" s="170"/>
      <c r="B3909" s="170"/>
    </row>
    <row r="3910" spans="1:2" x14ac:dyDescent="0.25">
      <c r="A3910" s="170"/>
      <c r="B3910" s="170"/>
    </row>
    <row r="3911" spans="1:2" x14ac:dyDescent="0.25">
      <c r="A3911" s="170"/>
      <c r="B3911" s="170"/>
    </row>
    <row r="3912" spans="1:2" x14ac:dyDescent="0.25">
      <c r="A3912" s="170"/>
      <c r="B3912" s="170"/>
    </row>
    <row r="3913" spans="1:2" x14ac:dyDescent="0.25">
      <c r="A3913" s="170"/>
      <c r="B3913" s="170"/>
    </row>
    <row r="3914" spans="1:2" x14ac:dyDescent="0.25">
      <c r="A3914" s="170"/>
      <c r="B3914" s="170"/>
    </row>
    <row r="3915" spans="1:2" x14ac:dyDescent="0.25">
      <c r="A3915" s="170"/>
      <c r="B3915" s="170"/>
    </row>
    <row r="3916" spans="1:2" x14ac:dyDescent="0.25">
      <c r="A3916" s="170"/>
      <c r="B3916" s="170"/>
    </row>
    <row r="3917" spans="1:2" x14ac:dyDescent="0.25">
      <c r="A3917" s="170"/>
      <c r="B3917" s="170"/>
    </row>
    <row r="3918" spans="1:2" x14ac:dyDescent="0.25">
      <c r="A3918" s="170"/>
      <c r="B3918" s="170"/>
    </row>
    <row r="3919" spans="1:2" x14ac:dyDescent="0.25">
      <c r="A3919" s="170"/>
      <c r="B3919" s="170"/>
    </row>
    <row r="3920" spans="1:2" x14ac:dyDescent="0.25">
      <c r="A3920" s="170"/>
      <c r="B3920" s="170"/>
    </row>
    <row r="3921" spans="1:2" x14ac:dyDescent="0.25">
      <c r="A3921" s="170"/>
      <c r="B3921" s="170"/>
    </row>
    <row r="3922" spans="1:2" x14ac:dyDescent="0.25">
      <c r="A3922" s="170"/>
      <c r="B3922" s="170"/>
    </row>
    <row r="3923" spans="1:2" x14ac:dyDescent="0.25">
      <c r="A3923" s="170"/>
      <c r="B3923" s="170"/>
    </row>
    <row r="3924" spans="1:2" x14ac:dyDescent="0.25">
      <c r="A3924" s="170"/>
      <c r="B3924" s="170"/>
    </row>
    <row r="3925" spans="1:2" x14ac:dyDescent="0.25">
      <c r="A3925" s="170"/>
      <c r="B3925" s="170"/>
    </row>
    <row r="3926" spans="1:2" x14ac:dyDescent="0.25">
      <c r="A3926" s="170"/>
      <c r="B3926" s="170"/>
    </row>
    <row r="3927" spans="1:2" x14ac:dyDescent="0.25">
      <c r="A3927" s="170"/>
      <c r="B3927" s="170"/>
    </row>
    <row r="3928" spans="1:2" x14ac:dyDescent="0.25">
      <c r="A3928" s="170"/>
      <c r="B3928" s="170"/>
    </row>
    <row r="3929" spans="1:2" x14ac:dyDescent="0.25">
      <c r="A3929" s="170"/>
      <c r="B3929" s="170"/>
    </row>
    <row r="3930" spans="1:2" x14ac:dyDescent="0.25">
      <c r="A3930" s="170"/>
      <c r="B3930" s="170"/>
    </row>
    <row r="3931" spans="1:2" x14ac:dyDescent="0.25">
      <c r="A3931" s="170"/>
      <c r="B3931" s="170"/>
    </row>
    <row r="3932" spans="1:2" x14ac:dyDescent="0.25">
      <c r="A3932" s="170"/>
      <c r="B3932" s="170"/>
    </row>
    <row r="3933" spans="1:2" x14ac:dyDescent="0.25">
      <c r="A3933" s="170"/>
      <c r="B3933" s="170"/>
    </row>
    <row r="3934" spans="1:2" x14ac:dyDescent="0.25">
      <c r="A3934" s="170"/>
      <c r="B3934" s="170"/>
    </row>
    <row r="3935" spans="1:2" x14ac:dyDescent="0.25">
      <c r="A3935" s="170"/>
      <c r="B3935" s="170"/>
    </row>
    <row r="3936" spans="1:2" x14ac:dyDescent="0.25">
      <c r="A3936" s="170"/>
      <c r="B3936" s="170"/>
    </row>
    <row r="3937" spans="1:2" x14ac:dyDescent="0.25">
      <c r="A3937" s="170"/>
      <c r="B3937" s="170"/>
    </row>
    <row r="3938" spans="1:2" x14ac:dyDescent="0.25">
      <c r="A3938" s="170"/>
      <c r="B3938" s="170"/>
    </row>
    <row r="3939" spans="1:2" x14ac:dyDescent="0.25">
      <c r="A3939" s="170"/>
      <c r="B3939" s="170"/>
    </row>
    <row r="3940" spans="1:2" x14ac:dyDescent="0.25">
      <c r="A3940" s="170"/>
      <c r="B3940" s="170"/>
    </row>
    <row r="3941" spans="1:2" x14ac:dyDescent="0.25">
      <c r="A3941" s="170"/>
      <c r="B3941" s="170"/>
    </row>
    <row r="3942" spans="1:2" x14ac:dyDescent="0.25">
      <c r="A3942" s="170"/>
      <c r="B3942" s="170"/>
    </row>
    <row r="3943" spans="1:2" x14ac:dyDescent="0.25">
      <c r="A3943" s="170"/>
      <c r="B3943" s="170"/>
    </row>
    <row r="3944" spans="1:2" x14ac:dyDescent="0.25">
      <c r="A3944" s="170"/>
      <c r="B3944" s="170"/>
    </row>
    <row r="3945" spans="1:2" x14ac:dyDescent="0.25">
      <c r="A3945" s="170"/>
      <c r="B3945" s="170"/>
    </row>
    <row r="3946" spans="1:2" x14ac:dyDescent="0.25">
      <c r="A3946" s="170"/>
      <c r="B3946" s="170"/>
    </row>
    <row r="3947" spans="1:2" x14ac:dyDescent="0.25">
      <c r="A3947" s="170"/>
      <c r="B3947" s="170"/>
    </row>
    <row r="3948" spans="1:2" x14ac:dyDescent="0.25">
      <c r="A3948" s="170"/>
      <c r="B3948" s="170"/>
    </row>
    <row r="3949" spans="1:2" x14ac:dyDescent="0.25">
      <c r="A3949" s="170"/>
      <c r="B3949" s="170"/>
    </row>
    <row r="3950" spans="1:2" x14ac:dyDescent="0.25">
      <c r="A3950" s="170"/>
      <c r="B3950" s="170"/>
    </row>
    <row r="3951" spans="1:2" x14ac:dyDescent="0.25">
      <c r="A3951" s="170"/>
      <c r="B3951" s="170"/>
    </row>
    <row r="3952" spans="1:2" x14ac:dyDescent="0.25">
      <c r="A3952" s="170"/>
      <c r="B3952" s="170"/>
    </row>
    <row r="3953" spans="1:2" x14ac:dyDescent="0.25">
      <c r="A3953" s="170"/>
      <c r="B3953" s="170"/>
    </row>
    <row r="3954" spans="1:2" x14ac:dyDescent="0.25">
      <c r="A3954" s="170"/>
      <c r="B3954" s="170"/>
    </row>
    <row r="3955" spans="1:2" x14ac:dyDescent="0.25">
      <c r="A3955" s="170"/>
      <c r="B3955" s="170"/>
    </row>
    <row r="3956" spans="1:2" x14ac:dyDescent="0.25">
      <c r="A3956" s="170"/>
      <c r="B3956" s="170"/>
    </row>
    <row r="3957" spans="1:2" x14ac:dyDescent="0.25">
      <c r="A3957" s="170"/>
      <c r="B3957" s="170"/>
    </row>
    <row r="3958" spans="1:2" x14ac:dyDescent="0.25">
      <c r="A3958" s="170"/>
      <c r="B3958" s="170"/>
    </row>
    <row r="3959" spans="1:2" x14ac:dyDescent="0.25">
      <c r="A3959" s="170"/>
      <c r="B3959" s="170"/>
    </row>
    <row r="3960" spans="1:2" x14ac:dyDescent="0.25">
      <c r="A3960" s="170"/>
      <c r="B3960" s="170"/>
    </row>
    <row r="3961" spans="1:2" x14ac:dyDescent="0.25">
      <c r="A3961" s="170"/>
      <c r="B3961" s="170"/>
    </row>
    <row r="3962" spans="1:2" x14ac:dyDescent="0.25">
      <c r="A3962" s="170"/>
      <c r="B3962" s="170"/>
    </row>
    <row r="3963" spans="1:2" x14ac:dyDescent="0.25">
      <c r="A3963" s="170"/>
      <c r="B3963" s="170"/>
    </row>
    <row r="3964" spans="1:2" x14ac:dyDescent="0.25">
      <c r="A3964" s="170"/>
      <c r="B3964" s="170"/>
    </row>
    <row r="3965" spans="1:2" x14ac:dyDescent="0.25">
      <c r="A3965" s="170"/>
      <c r="B3965" s="170"/>
    </row>
    <row r="3966" spans="1:2" x14ac:dyDescent="0.25">
      <c r="A3966" s="170"/>
      <c r="B3966" s="170"/>
    </row>
    <row r="3967" spans="1:2" x14ac:dyDescent="0.25">
      <c r="A3967" s="170"/>
      <c r="B3967" s="170"/>
    </row>
    <row r="3968" spans="1:2" x14ac:dyDescent="0.25">
      <c r="A3968" s="170"/>
      <c r="B3968" s="170"/>
    </row>
    <row r="3969" spans="1:2" x14ac:dyDescent="0.25">
      <c r="A3969" s="170"/>
      <c r="B3969" s="170"/>
    </row>
    <row r="3970" spans="1:2" x14ac:dyDescent="0.25">
      <c r="A3970" s="170"/>
      <c r="B3970" s="170"/>
    </row>
    <row r="3971" spans="1:2" x14ac:dyDescent="0.25">
      <c r="A3971" s="170"/>
      <c r="B3971" s="170"/>
    </row>
    <row r="3972" spans="1:2" x14ac:dyDescent="0.25">
      <c r="A3972" s="170"/>
      <c r="B3972" s="170"/>
    </row>
    <row r="3973" spans="1:2" x14ac:dyDescent="0.25">
      <c r="A3973" s="170"/>
      <c r="B3973" s="170"/>
    </row>
    <row r="3974" spans="1:2" x14ac:dyDescent="0.25">
      <c r="A3974" s="170"/>
      <c r="B3974" s="170"/>
    </row>
    <row r="3975" spans="1:2" x14ac:dyDescent="0.25">
      <c r="A3975" s="170"/>
      <c r="B3975" s="170"/>
    </row>
    <row r="3976" spans="1:2" x14ac:dyDescent="0.25">
      <c r="A3976" s="170"/>
      <c r="B3976" s="170"/>
    </row>
    <row r="3977" spans="1:2" x14ac:dyDescent="0.25">
      <c r="A3977" s="170"/>
      <c r="B3977" s="170"/>
    </row>
    <row r="3978" spans="1:2" x14ac:dyDescent="0.25">
      <c r="A3978" s="170"/>
      <c r="B3978" s="170"/>
    </row>
    <row r="3979" spans="1:2" x14ac:dyDescent="0.25">
      <c r="A3979" s="170"/>
      <c r="B3979" s="170"/>
    </row>
    <row r="3980" spans="1:2" x14ac:dyDescent="0.25">
      <c r="A3980" s="170"/>
      <c r="B3980" s="170"/>
    </row>
    <row r="3981" spans="1:2" x14ac:dyDescent="0.25">
      <c r="A3981" s="170"/>
      <c r="B3981" s="170"/>
    </row>
    <row r="3982" spans="1:2" x14ac:dyDescent="0.25">
      <c r="A3982" s="170"/>
      <c r="B3982" s="170"/>
    </row>
    <row r="3983" spans="1:2" x14ac:dyDescent="0.25">
      <c r="A3983" s="170"/>
      <c r="B3983" s="170"/>
    </row>
    <row r="3984" spans="1:2" x14ac:dyDescent="0.25">
      <c r="A3984" s="170"/>
      <c r="B3984" s="170"/>
    </row>
    <row r="3985" spans="1:2" x14ac:dyDescent="0.25">
      <c r="A3985" s="170"/>
      <c r="B3985" s="170"/>
    </row>
    <row r="3986" spans="1:2" x14ac:dyDescent="0.25">
      <c r="A3986" s="170"/>
      <c r="B3986" s="170"/>
    </row>
    <row r="3987" spans="1:2" x14ac:dyDescent="0.25">
      <c r="A3987" s="170"/>
      <c r="B3987" s="170"/>
    </row>
    <row r="3988" spans="1:2" x14ac:dyDescent="0.25">
      <c r="A3988" s="170"/>
      <c r="B3988" s="170"/>
    </row>
    <row r="3989" spans="1:2" x14ac:dyDescent="0.25">
      <c r="A3989" s="170"/>
      <c r="B3989" s="170"/>
    </row>
    <row r="3990" spans="1:2" x14ac:dyDescent="0.25">
      <c r="A3990" s="170"/>
      <c r="B3990" s="170"/>
    </row>
    <row r="3991" spans="1:2" x14ac:dyDescent="0.25">
      <c r="A3991" s="170"/>
      <c r="B3991" s="170"/>
    </row>
    <row r="3992" spans="1:2" x14ac:dyDescent="0.25">
      <c r="A3992" s="170"/>
      <c r="B3992" s="170"/>
    </row>
    <row r="3993" spans="1:2" x14ac:dyDescent="0.25">
      <c r="A3993" s="170"/>
      <c r="B3993" s="170"/>
    </row>
    <row r="3994" spans="1:2" x14ac:dyDescent="0.25">
      <c r="A3994" s="170"/>
      <c r="B3994" s="170"/>
    </row>
    <row r="3995" spans="1:2" x14ac:dyDescent="0.25">
      <c r="A3995" s="170"/>
      <c r="B3995" s="170"/>
    </row>
    <row r="3996" spans="1:2" x14ac:dyDescent="0.25">
      <c r="A3996" s="170"/>
      <c r="B3996" s="170"/>
    </row>
    <row r="3997" spans="1:2" x14ac:dyDescent="0.25">
      <c r="A3997" s="170"/>
      <c r="B3997" s="170"/>
    </row>
    <row r="3998" spans="1:2" x14ac:dyDescent="0.25">
      <c r="A3998" s="170"/>
      <c r="B3998" s="170"/>
    </row>
    <row r="3999" spans="1:2" x14ac:dyDescent="0.25">
      <c r="A3999" s="170"/>
      <c r="B3999" s="170"/>
    </row>
    <row r="4000" spans="1:2" x14ac:dyDescent="0.25">
      <c r="A4000" s="170"/>
      <c r="B4000" s="170"/>
    </row>
    <row r="4001" spans="1:2" x14ac:dyDescent="0.25">
      <c r="A4001" s="170"/>
      <c r="B4001" s="170"/>
    </row>
    <row r="4002" spans="1:2" x14ac:dyDescent="0.25">
      <c r="A4002" s="170"/>
      <c r="B4002" s="170"/>
    </row>
    <row r="4003" spans="1:2" x14ac:dyDescent="0.25">
      <c r="A4003" s="170"/>
      <c r="B4003" s="170"/>
    </row>
    <row r="4004" spans="1:2" x14ac:dyDescent="0.25">
      <c r="A4004" s="170"/>
      <c r="B4004" s="170"/>
    </row>
    <row r="4005" spans="1:2" x14ac:dyDescent="0.25">
      <c r="A4005" s="170"/>
      <c r="B4005" s="170"/>
    </row>
    <row r="4006" spans="1:2" x14ac:dyDescent="0.25">
      <c r="A4006" s="170"/>
      <c r="B4006" s="170"/>
    </row>
    <row r="4007" spans="1:2" x14ac:dyDescent="0.25">
      <c r="A4007" s="170"/>
      <c r="B4007" s="170"/>
    </row>
    <row r="4008" spans="1:2" x14ac:dyDescent="0.25">
      <c r="A4008" s="170"/>
      <c r="B4008" s="170"/>
    </row>
    <row r="4009" spans="1:2" x14ac:dyDescent="0.25">
      <c r="A4009" s="170"/>
      <c r="B4009" s="170"/>
    </row>
    <row r="4010" spans="1:2" x14ac:dyDescent="0.25">
      <c r="A4010" s="170"/>
      <c r="B4010" s="170"/>
    </row>
    <row r="4011" spans="1:2" x14ac:dyDescent="0.25">
      <c r="A4011" s="170"/>
      <c r="B4011" s="170"/>
    </row>
    <row r="4012" spans="1:2" x14ac:dyDescent="0.25">
      <c r="A4012" s="170"/>
      <c r="B4012" s="170"/>
    </row>
    <row r="4013" spans="1:2" x14ac:dyDescent="0.25">
      <c r="A4013" s="170"/>
      <c r="B4013" s="170"/>
    </row>
    <row r="4014" spans="1:2" x14ac:dyDescent="0.25">
      <c r="A4014" s="170"/>
      <c r="B4014" s="170"/>
    </row>
    <row r="4015" spans="1:2" x14ac:dyDescent="0.25">
      <c r="A4015" s="170"/>
      <c r="B4015" s="170"/>
    </row>
    <row r="4016" spans="1:2" x14ac:dyDescent="0.25">
      <c r="A4016" s="170"/>
      <c r="B4016" s="170"/>
    </row>
    <row r="4017" spans="1:2" x14ac:dyDescent="0.25">
      <c r="A4017" s="170"/>
      <c r="B4017" s="170"/>
    </row>
    <row r="4018" spans="1:2" x14ac:dyDescent="0.25">
      <c r="A4018" s="170"/>
      <c r="B4018" s="170"/>
    </row>
    <row r="4019" spans="1:2" x14ac:dyDescent="0.25">
      <c r="A4019" s="170"/>
      <c r="B4019" s="170"/>
    </row>
    <row r="4020" spans="1:2" x14ac:dyDescent="0.25">
      <c r="A4020" s="170"/>
      <c r="B4020" s="170"/>
    </row>
    <row r="4021" spans="1:2" x14ac:dyDescent="0.25">
      <c r="A4021" s="170"/>
      <c r="B4021" s="170"/>
    </row>
    <row r="4022" spans="1:2" x14ac:dyDescent="0.25">
      <c r="A4022" s="170"/>
      <c r="B4022" s="170"/>
    </row>
    <row r="4023" spans="1:2" x14ac:dyDescent="0.25">
      <c r="A4023" s="170"/>
      <c r="B4023" s="170"/>
    </row>
    <row r="4024" spans="1:2" x14ac:dyDescent="0.25">
      <c r="A4024" s="170"/>
      <c r="B4024" s="170"/>
    </row>
    <row r="4025" spans="1:2" x14ac:dyDescent="0.25">
      <c r="A4025" s="170"/>
      <c r="B4025" s="170"/>
    </row>
    <row r="4026" spans="1:2" x14ac:dyDescent="0.25">
      <c r="A4026" s="170"/>
      <c r="B4026" s="170"/>
    </row>
    <row r="4027" spans="1:2" x14ac:dyDescent="0.25">
      <c r="A4027" s="170"/>
      <c r="B4027" s="170"/>
    </row>
    <row r="4028" spans="1:2" x14ac:dyDescent="0.25">
      <c r="A4028" s="170"/>
      <c r="B4028" s="170"/>
    </row>
    <row r="4029" spans="1:2" x14ac:dyDescent="0.25">
      <c r="A4029" s="170"/>
      <c r="B4029" s="170"/>
    </row>
    <row r="4030" spans="1:2" x14ac:dyDescent="0.25">
      <c r="A4030" s="170"/>
      <c r="B4030" s="170"/>
    </row>
    <row r="4031" spans="1:2" x14ac:dyDescent="0.25">
      <c r="A4031" s="170"/>
      <c r="B4031" s="170"/>
    </row>
    <row r="4032" spans="1:2" x14ac:dyDescent="0.25">
      <c r="A4032" s="170"/>
      <c r="B4032" s="170"/>
    </row>
    <row r="4033" spans="1:2" x14ac:dyDescent="0.25">
      <c r="A4033" s="170"/>
      <c r="B4033" s="170"/>
    </row>
    <row r="4034" spans="1:2" x14ac:dyDescent="0.25">
      <c r="A4034" s="170"/>
      <c r="B4034" s="170"/>
    </row>
    <row r="4035" spans="1:2" x14ac:dyDescent="0.25">
      <c r="A4035" s="170"/>
      <c r="B4035" s="170"/>
    </row>
    <row r="4036" spans="1:2" x14ac:dyDescent="0.25">
      <c r="A4036" s="170"/>
      <c r="B4036" s="170"/>
    </row>
    <row r="4037" spans="1:2" x14ac:dyDescent="0.25">
      <c r="A4037" s="170"/>
      <c r="B4037" s="170"/>
    </row>
    <row r="4038" spans="1:2" x14ac:dyDescent="0.25">
      <c r="A4038" s="170"/>
      <c r="B4038" s="170"/>
    </row>
    <row r="4039" spans="1:2" x14ac:dyDescent="0.25">
      <c r="A4039" s="170"/>
      <c r="B4039" s="170"/>
    </row>
    <row r="4040" spans="1:2" x14ac:dyDescent="0.25">
      <c r="A4040" s="170"/>
      <c r="B4040" s="170"/>
    </row>
    <row r="4041" spans="1:2" x14ac:dyDescent="0.25">
      <c r="A4041" s="170"/>
      <c r="B4041" s="170"/>
    </row>
    <row r="4042" spans="1:2" x14ac:dyDescent="0.25">
      <c r="A4042" s="170"/>
      <c r="B4042" s="170"/>
    </row>
    <row r="4043" spans="1:2" x14ac:dyDescent="0.25">
      <c r="A4043" s="170"/>
      <c r="B4043" s="170"/>
    </row>
    <row r="4044" spans="1:2" x14ac:dyDescent="0.25">
      <c r="A4044" s="170"/>
      <c r="B4044" s="170"/>
    </row>
    <row r="4045" spans="1:2" x14ac:dyDescent="0.25">
      <c r="A4045" s="170"/>
      <c r="B4045" s="170"/>
    </row>
    <row r="4046" spans="1:2" x14ac:dyDescent="0.25">
      <c r="A4046" s="170"/>
      <c r="B4046" s="170"/>
    </row>
    <row r="4047" spans="1:2" x14ac:dyDescent="0.25">
      <c r="A4047" s="170"/>
      <c r="B4047" s="170"/>
    </row>
    <row r="4048" spans="1:2" x14ac:dyDescent="0.25">
      <c r="A4048" s="170"/>
      <c r="B4048" s="170"/>
    </row>
    <row r="4049" spans="1:2" x14ac:dyDescent="0.25">
      <c r="A4049" s="170"/>
      <c r="B4049" s="170"/>
    </row>
    <row r="4050" spans="1:2" x14ac:dyDescent="0.25">
      <c r="A4050" s="170"/>
      <c r="B4050" s="170"/>
    </row>
    <row r="4051" spans="1:2" x14ac:dyDescent="0.25">
      <c r="A4051" s="170"/>
      <c r="B4051" s="170"/>
    </row>
    <row r="4052" spans="1:2" x14ac:dyDescent="0.25">
      <c r="A4052" s="170"/>
      <c r="B4052" s="170"/>
    </row>
    <row r="4053" spans="1:2" x14ac:dyDescent="0.25">
      <c r="A4053" s="170"/>
      <c r="B4053" s="170"/>
    </row>
    <row r="4054" spans="1:2" x14ac:dyDescent="0.25">
      <c r="A4054" s="170"/>
      <c r="B4054" s="170"/>
    </row>
    <row r="4055" spans="1:2" x14ac:dyDescent="0.25">
      <c r="A4055" s="170"/>
      <c r="B4055" s="170"/>
    </row>
    <row r="4056" spans="1:2" x14ac:dyDescent="0.25">
      <c r="A4056" s="170"/>
      <c r="B4056" s="170"/>
    </row>
    <row r="4057" spans="1:2" x14ac:dyDescent="0.25">
      <c r="A4057" s="170"/>
      <c r="B4057" s="170"/>
    </row>
    <row r="4058" spans="1:2" x14ac:dyDescent="0.25">
      <c r="A4058" s="170"/>
      <c r="B4058" s="170"/>
    </row>
    <row r="4059" spans="1:2" x14ac:dyDescent="0.25">
      <c r="A4059" s="170"/>
      <c r="B4059" s="170"/>
    </row>
    <row r="4060" spans="1:2" x14ac:dyDescent="0.25">
      <c r="A4060" s="170"/>
      <c r="B4060" s="170"/>
    </row>
    <row r="4061" spans="1:2" x14ac:dyDescent="0.25">
      <c r="A4061" s="170"/>
      <c r="B4061" s="170"/>
    </row>
    <row r="4062" spans="1:2" x14ac:dyDescent="0.25">
      <c r="A4062" s="170"/>
      <c r="B4062" s="170"/>
    </row>
    <row r="4063" spans="1:2" x14ac:dyDescent="0.25">
      <c r="A4063" s="170"/>
      <c r="B4063" s="170"/>
    </row>
    <row r="4064" spans="1:2" x14ac:dyDescent="0.25">
      <c r="A4064" s="170"/>
      <c r="B4064" s="170"/>
    </row>
    <row r="4065" spans="1:2" x14ac:dyDescent="0.25">
      <c r="A4065" s="170"/>
      <c r="B4065" s="170"/>
    </row>
    <row r="4066" spans="1:2" x14ac:dyDescent="0.25">
      <c r="A4066" s="170"/>
      <c r="B4066" s="170"/>
    </row>
    <row r="4067" spans="1:2" x14ac:dyDescent="0.25">
      <c r="A4067" s="170"/>
      <c r="B4067" s="170"/>
    </row>
    <row r="4068" spans="1:2" x14ac:dyDescent="0.25">
      <c r="A4068" s="170"/>
      <c r="B4068" s="170"/>
    </row>
    <row r="4069" spans="1:2" x14ac:dyDescent="0.25">
      <c r="A4069" s="170"/>
      <c r="B4069" s="170"/>
    </row>
    <row r="4070" spans="1:2" x14ac:dyDescent="0.25">
      <c r="A4070" s="170"/>
      <c r="B4070" s="170"/>
    </row>
    <row r="4071" spans="1:2" x14ac:dyDescent="0.25">
      <c r="A4071" s="170"/>
      <c r="B4071" s="170"/>
    </row>
    <row r="4072" spans="1:2" x14ac:dyDescent="0.25">
      <c r="A4072" s="170"/>
      <c r="B4072" s="170"/>
    </row>
    <row r="4073" spans="1:2" x14ac:dyDescent="0.25">
      <c r="A4073" s="170"/>
      <c r="B4073" s="170"/>
    </row>
    <row r="4074" spans="1:2" x14ac:dyDescent="0.25">
      <c r="A4074" s="170"/>
      <c r="B4074" s="170"/>
    </row>
    <row r="4075" spans="1:2" x14ac:dyDescent="0.25">
      <c r="A4075" s="170"/>
      <c r="B4075" s="170"/>
    </row>
    <row r="4076" spans="1:2" x14ac:dyDescent="0.25">
      <c r="A4076" s="170"/>
      <c r="B4076" s="170"/>
    </row>
    <row r="4077" spans="1:2" x14ac:dyDescent="0.25">
      <c r="A4077" s="170"/>
      <c r="B4077" s="170"/>
    </row>
    <row r="4078" spans="1:2" x14ac:dyDescent="0.25">
      <c r="A4078" s="170"/>
      <c r="B4078" s="170"/>
    </row>
    <row r="4079" spans="1:2" x14ac:dyDescent="0.25">
      <c r="A4079" s="170"/>
      <c r="B4079" s="170"/>
    </row>
    <row r="4080" spans="1:2" x14ac:dyDescent="0.25">
      <c r="A4080" s="170"/>
      <c r="B4080" s="170"/>
    </row>
    <row r="4081" spans="1:2" x14ac:dyDescent="0.25">
      <c r="A4081" s="170"/>
      <c r="B4081" s="170"/>
    </row>
    <row r="4082" spans="1:2" x14ac:dyDescent="0.25">
      <c r="A4082" s="170"/>
      <c r="B4082" s="170"/>
    </row>
    <row r="4083" spans="1:2" x14ac:dyDescent="0.25">
      <c r="A4083" s="170"/>
      <c r="B4083" s="170"/>
    </row>
    <row r="4084" spans="1:2" x14ac:dyDescent="0.25">
      <c r="A4084" s="170"/>
      <c r="B4084" s="170"/>
    </row>
    <row r="4085" spans="1:2" x14ac:dyDescent="0.25">
      <c r="A4085" s="170"/>
      <c r="B4085" s="170"/>
    </row>
    <row r="4086" spans="1:2" x14ac:dyDescent="0.25">
      <c r="A4086" s="170"/>
      <c r="B4086" s="170"/>
    </row>
    <row r="4087" spans="1:2" x14ac:dyDescent="0.25">
      <c r="A4087" s="170"/>
      <c r="B4087" s="170"/>
    </row>
    <row r="4088" spans="1:2" x14ac:dyDescent="0.25">
      <c r="A4088" s="170"/>
      <c r="B4088" s="170"/>
    </row>
    <row r="4089" spans="1:2" x14ac:dyDescent="0.25">
      <c r="A4089" s="170"/>
      <c r="B4089" s="170"/>
    </row>
    <row r="4090" spans="1:2" x14ac:dyDescent="0.25">
      <c r="A4090" s="170"/>
      <c r="B4090" s="170"/>
    </row>
    <row r="4091" spans="1:2" x14ac:dyDescent="0.25">
      <c r="A4091" s="170"/>
      <c r="B4091" s="170"/>
    </row>
    <row r="4092" spans="1:2" x14ac:dyDescent="0.25">
      <c r="A4092" s="170"/>
      <c r="B4092" s="170"/>
    </row>
    <row r="4093" spans="1:2" x14ac:dyDescent="0.25">
      <c r="A4093" s="170"/>
      <c r="B4093" s="170"/>
    </row>
    <row r="4094" spans="1:2" x14ac:dyDescent="0.25">
      <c r="A4094" s="170"/>
      <c r="B4094" s="170"/>
    </row>
    <row r="4095" spans="1:2" x14ac:dyDescent="0.25">
      <c r="A4095" s="170"/>
      <c r="B4095" s="170"/>
    </row>
    <row r="4096" spans="1:2" x14ac:dyDescent="0.25">
      <c r="A4096" s="170"/>
      <c r="B4096" s="170"/>
    </row>
    <row r="4097" spans="1:2" x14ac:dyDescent="0.25">
      <c r="A4097" s="170"/>
      <c r="B4097" s="170"/>
    </row>
    <row r="4098" spans="1:2" x14ac:dyDescent="0.25">
      <c r="A4098" s="170"/>
      <c r="B4098" s="170"/>
    </row>
    <row r="4099" spans="1:2" x14ac:dyDescent="0.25">
      <c r="A4099" s="170"/>
      <c r="B4099" s="170"/>
    </row>
    <row r="4100" spans="1:2" x14ac:dyDescent="0.25">
      <c r="A4100" s="170"/>
      <c r="B4100" s="170"/>
    </row>
    <row r="4101" spans="1:2" x14ac:dyDescent="0.25">
      <c r="A4101" s="170"/>
      <c r="B4101" s="170"/>
    </row>
    <row r="4102" spans="1:2" x14ac:dyDescent="0.25">
      <c r="A4102" s="170"/>
      <c r="B4102" s="170"/>
    </row>
    <row r="4103" spans="1:2" x14ac:dyDescent="0.25">
      <c r="A4103" s="170"/>
      <c r="B4103" s="170"/>
    </row>
    <row r="4104" spans="1:2" x14ac:dyDescent="0.25">
      <c r="A4104" s="170"/>
      <c r="B4104" s="170"/>
    </row>
    <row r="4105" spans="1:2" x14ac:dyDescent="0.25">
      <c r="A4105" s="170"/>
      <c r="B4105" s="170"/>
    </row>
    <row r="4106" spans="1:2" x14ac:dyDescent="0.25">
      <c r="A4106" s="170"/>
      <c r="B4106" s="170"/>
    </row>
    <row r="4107" spans="1:2" x14ac:dyDescent="0.25">
      <c r="A4107" s="170"/>
      <c r="B4107" s="170"/>
    </row>
    <row r="4108" spans="1:2" x14ac:dyDescent="0.25">
      <c r="A4108" s="170"/>
      <c r="B4108" s="170"/>
    </row>
    <row r="4109" spans="1:2" x14ac:dyDescent="0.25">
      <c r="A4109" s="170"/>
      <c r="B4109" s="170"/>
    </row>
    <row r="4110" spans="1:2" x14ac:dyDescent="0.25">
      <c r="A4110" s="170"/>
      <c r="B4110" s="170"/>
    </row>
    <row r="4111" spans="1:2" x14ac:dyDescent="0.25">
      <c r="A4111" s="170"/>
      <c r="B4111" s="170"/>
    </row>
    <row r="4112" spans="1:2" x14ac:dyDescent="0.25">
      <c r="A4112" s="170"/>
      <c r="B4112" s="170"/>
    </row>
    <row r="4113" spans="1:2" x14ac:dyDescent="0.25">
      <c r="A4113" s="170"/>
      <c r="B4113" s="170"/>
    </row>
    <row r="4114" spans="1:2" x14ac:dyDescent="0.25">
      <c r="A4114" s="170"/>
      <c r="B4114" s="170"/>
    </row>
    <row r="4115" spans="1:2" x14ac:dyDescent="0.25">
      <c r="A4115" s="170"/>
      <c r="B4115" s="170"/>
    </row>
    <row r="4116" spans="1:2" x14ac:dyDescent="0.25">
      <c r="A4116" s="170"/>
      <c r="B4116" s="170"/>
    </row>
    <row r="4117" spans="1:2" x14ac:dyDescent="0.25">
      <c r="A4117" s="170"/>
      <c r="B4117" s="170"/>
    </row>
    <row r="4118" spans="1:2" x14ac:dyDescent="0.25">
      <c r="A4118" s="170"/>
      <c r="B4118" s="170"/>
    </row>
    <row r="4119" spans="1:2" x14ac:dyDescent="0.25">
      <c r="A4119" s="170"/>
      <c r="B4119" s="170"/>
    </row>
    <row r="4120" spans="1:2" x14ac:dyDescent="0.25">
      <c r="A4120" s="170"/>
      <c r="B4120" s="170"/>
    </row>
    <row r="4121" spans="1:2" x14ac:dyDescent="0.25">
      <c r="A4121" s="170"/>
      <c r="B4121" s="170"/>
    </row>
    <row r="4122" spans="1:2" x14ac:dyDescent="0.25">
      <c r="A4122" s="170"/>
      <c r="B4122" s="170"/>
    </row>
    <row r="4123" spans="1:2" x14ac:dyDescent="0.25">
      <c r="A4123" s="170"/>
      <c r="B4123" s="170"/>
    </row>
    <row r="4124" spans="1:2" x14ac:dyDescent="0.25">
      <c r="A4124" s="170"/>
      <c r="B4124" s="170"/>
    </row>
    <row r="4125" spans="1:2" x14ac:dyDescent="0.25">
      <c r="A4125" s="170"/>
      <c r="B4125" s="170"/>
    </row>
    <row r="4126" spans="1:2" x14ac:dyDescent="0.25">
      <c r="A4126" s="170"/>
      <c r="B4126" s="170"/>
    </row>
    <row r="4127" spans="1:2" x14ac:dyDescent="0.25">
      <c r="A4127" s="170"/>
      <c r="B4127" s="170"/>
    </row>
    <row r="4128" spans="1:2" x14ac:dyDescent="0.25">
      <c r="A4128" s="170"/>
      <c r="B4128" s="170"/>
    </row>
    <row r="4129" spans="1:2" x14ac:dyDescent="0.25">
      <c r="A4129" s="170"/>
      <c r="B4129" s="170"/>
    </row>
    <row r="4130" spans="1:2" x14ac:dyDescent="0.25">
      <c r="A4130" s="170"/>
      <c r="B4130" s="170"/>
    </row>
    <row r="4131" spans="1:2" x14ac:dyDescent="0.25">
      <c r="A4131" s="170"/>
      <c r="B4131" s="170"/>
    </row>
    <row r="4132" spans="1:2" x14ac:dyDescent="0.25">
      <c r="A4132" s="170"/>
      <c r="B4132" s="170"/>
    </row>
    <row r="4133" spans="1:2" x14ac:dyDescent="0.25">
      <c r="A4133" s="170"/>
      <c r="B4133" s="170"/>
    </row>
    <row r="4134" spans="1:2" x14ac:dyDescent="0.25">
      <c r="A4134" s="170"/>
      <c r="B4134" s="170"/>
    </row>
    <row r="4135" spans="1:2" x14ac:dyDescent="0.25">
      <c r="A4135" s="170"/>
      <c r="B4135" s="170"/>
    </row>
    <row r="4136" spans="1:2" x14ac:dyDescent="0.25">
      <c r="A4136" s="170"/>
      <c r="B4136" s="170"/>
    </row>
    <row r="4137" spans="1:2" x14ac:dyDescent="0.25">
      <c r="A4137" s="170"/>
      <c r="B4137" s="170"/>
    </row>
    <row r="4138" spans="1:2" x14ac:dyDescent="0.25">
      <c r="A4138" s="170"/>
      <c r="B4138" s="170"/>
    </row>
    <row r="4139" spans="1:2" x14ac:dyDescent="0.25">
      <c r="A4139" s="170"/>
      <c r="B4139" s="170"/>
    </row>
    <row r="4140" spans="1:2" x14ac:dyDescent="0.25">
      <c r="A4140" s="170"/>
      <c r="B4140" s="170"/>
    </row>
    <row r="4141" spans="1:2" x14ac:dyDescent="0.25">
      <c r="A4141" s="170"/>
      <c r="B4141" s="170"/>
    </row>
    <row r="4142" spans="1:2" x14ac:dyDescent="0.25">
      <c r="A4142" s="170"/>
      <c r="B4142" s="170"/>
    </row>
    <row r="4143" spans="1:2" x14ac:dyDescent="0.25">
      <c r="A4143" s="170"/>
      <c r="B4143" s="170"/>
    </row>
    <row r="4144" spans="1:2" x14ac:dyDescent="0.25">
      <c r="A4144" s="170"/>
      <c r="B4144" s="170"/>
    </row>
    <row r="4145" spans="1:2" x14ac:dyDescent="0.25">
      <c r="A4145" s="170"/>
      <c r="B4145" s="170"/>
    </row>
    <row r="4146" spans="1:2" x14ac:dyDescent="0.25">
      <c r="A4146" s="170"/>
      <c r="B4146" s="170"/>
    </row>
    <row r="4147" spans="1:2" x14ac:dyDescent="0.25">
      <c r="A4147" s="170"/>
      <c r="B4147" s="170"/>
    </row>
    <row r="4148" spans="1:2" x14ac:dyDescent="0.25">
      <c r="A4148" s="170"/>
      <c r="B4148" s="170"/>
    </row>
    <row r="4149" spans="1:2" x14ac:dyDescent="0.25">
      <c r="A4149" s="170"/>
      <c r="B4149" s="170"/>
    </row>
    <row r="4150" spans="1:2" x14ac:dyDescent="0.25">
      <c r="A4150" s="170"/>
      <c r="B4150" s="170"/>
    </row>
    <row r="4151" spans="1:2" x14ac:dyDescent="0.25">
      <c r="A4151" s="170"/>
      <c r="B4151" s="170"/>
    </row>
    <row r="4152" spans="1:2" x14ac:dyDescent="0.25">
      <c r="A4152" s="170"/>
      <c r="B4152" s="170"/>
    </row>
    <row r="4153" spans="1:2" x14ac:dyDescent="0.25">
      <c r="A4153" s="170"/>
      <c r="B4153" s="170"/>
    </row>
    <row r="4154" spans="1:2" x14ac:dyDescent="0.25">
      <c r="A4154" s="170"/>
      <c r="B4154" s="170"/>
    </row>
    <row r="4155" spans="1:2" x14ac:dyDescent="0.25">
      <c r="A4155" s="170"/>
      <c r="B4155" s="170"/>
    </row>
    <row r="4156" spans="1:2" x14ac:dyDescent="0.25">
      <c r="A4156" s="170"/>
      <c r="B4156" s="170"/>
    </row>
    <row r="4157" spans="1:2" x14ac:dyDescent="0.25">
      <c r="A4157" s="170"/>
      <c r="B4157" s="170"/>
    </row>
    <row r="4158" spans="1:2" x14ac:dyDescent="0.25">
      <c r="A4158" s="170"/>
      <c r="B4158" s="170"/>
    </row>
    <row r="4159" spans="1:2" x14ac:dyDescent="0.25">
      <c r="A4159" s="170"/>
      <c r="B4159" s="170"/>
    </row>
    <row r="4160" spans="1:2" x14ac:dyDescent="0.25">
      <c r="A4160" s="170"/>
      <c r="B4160" s="170"/>
    </row>
    <row r="4161" spans="1:2" x14ac:dyDescent="0.25">
      <c r="A4161" s="170"/>
      <c r="B4161" s="170"/>
    </row>
    <row r="4162" spans="1:2" x14ac:dyDescent="0.25">
      <c r="A4162" s="170"/>
      <c r="B4162" s="170"/>
    </row>
    <row r="4163" spans="1:2" x14ac:dyDescent="0.25">
      <c r="A4163" s="170"/>
      <c r="B4163" s="170"/>
    </row>
    <row r="4164" spans="1:2" x14ac:dyDescent="0.25">
      <c r="A4164" s="170"/>
      <c r="B4164" s="170"/>
    </row>
    <row r="4165" spans="1:2" x14ac:dyDescent="0.25">
      <c r="A4165" s="170"/>
      <c r="B4165" s="170"/>
    </row>
    <row r="4166" spans="1:2" x14ac:dyDescent="0.25">
      <c r="A4166" s="170"/>
      <c r="B4166" s="170"/>
    </row>
    <row r="4167" spans="1:2" x14ac:dyDescent="0.25">
      <c r="A4167" s="170"/>
      <c r="B4167" s="170"/>
    </row>
    <row r="4168" spans="1:2" x14ac:dyDescent="0.25">
      <c r="A4168" s="170"/>
      <c r="B4168" s="170"/>
    </row>
    <row r="4169" spans="1:2" x14ac:dyDescent="0.25">
      <c r="A4169" s="170"/>
      <c r="B4169" s="170"/>
    </row>
    <row r="4170" spans="1:2" x14ac:dyDescent="0.25">
      <c r="A4170" s="170"/>
      <c r="B4170" s="170"/>
    </row>
    <row r="4171" spans="1:2" x14ac:dyDescent="0.25">
      <c r="A4171" s="170"/>
      <c r="B4171" s="170"/>
    </row>
    <row r="4172" spans="1:2" x14ac:dyDescent="0.25">
      <c r="A4172" s="170"/>
      <c r="B4172" s="170"/>
    </row>
    <row r="4173" spans="1:2" x14ac:dyDescent="0.25">
      <c r="A4173" s="170"/>
      <c r="B4173" s="170"/>
    </row>
    <row r="4174" spans="1:2" x14ac:dyDescent="0.25">
      <c r="A4174" s="170"/>
      <c r="B4174" s="170"/>
    </row>
    <row r="4175" spans="1:2" x14ac:dyDescent="0.25">
      <c r="A4175" s="170"/>
      <c r="B4175" s="170"/>
    </row>
    <row r="4176" spans="1:2" x14ac:dyDescent="0.25">
      <c r="A4176" s="170"/>
      <c r="B4176" s="170"/>
    </row>
    <row r="4177" spans="1:2" x14ac:dyDescent="0.25">
      <c r="A4177" s="170"/>
      <c r="B4177" s="170"/>
    </row>
    <row r="4178" spans="1:2" x14ac:dyDescent="0.25">
      <c r="A4178" s="170"/>
      <c r="B4178" s="170"/>
    </row>
    <row r="4179" spans="1:2" x14ac:dyDescent="0.25">
      <c r="A4179" s="170"/>
      <c r="B4179" s="170"/>
    </row>
    <row r="4180" spans="1:2" x14ac:dyDescent="0.25">
      <c r="A4180" s="170"/>
      <c r="B4180" s="170"/>
    </row>
    <row r="4181" spans="1:2" x14ac:dyDescent="0.25">
      <c r="A4181" s="170"/>
      <c r="B4181" s="170"/>
    </row>
    <row r="4182" spans="1:2" x14ac:dyDescent="0.25">
      <c r="A4182" s="170"/>
      <c r="B4182" s="170"/>
    </row>
    <row r="4183" spans="1:2" x14ac:dyDescent="0.25">
      <c r="A4183" s="170"/>
      <c r="B4183" s="170"/>
    </row>
    <row r="4184" spans="1:2" x14ac:dyDescent="0.25">
      <c r="A4184" s="170"/>
      <c r="B4184" s="170"/>
    </row>
    <row r="4185" spans="1:2" x14ac:dyDescent="0.25">
      <c r="A4185" s="170"/>
      <c r="B4185" s="170"/>
    </row>
    <row r="4186" spans="1:2" x14ac:dyDescent="0.25">
      <c r="A4186" s="170"/>
      <c r="B4186" s="170"/>
    </row>
    <row r="4187" spans="1:2" x14ac:dyDescent="0.25">
      <c r="A4187" s="170"/>
      <c r="B4187" s="170"/>
    </row>
    <row r="4188" spans="1:2" x14ac:dyDescent="0.25">
      <c r="A4188" s="170"/>
      <c r="B4188" s="170"/>
    </row>
    <row r="4189" spans="1:2" x14ac:dyDescent="0.25">
      <c r="A4189" s="170"/>
      <c r="B4189" s="170"/>
    </row>
    <row r="4190" spans="1:2" x14ac:dyDescent="0.25">
      <c r="A4190" s="170"/>
      <c r="B4190" s="170"/>
    </row>
    <row r="4191" spans="1:2" x14ac:dyDescent="0.25">
      <c r="A4191" s="170"/>
      <c r="B4191" s="170"/>
    </row>
    <row r="4192" spans="1:2" x14ac:dyDescent="0.25">
      <c r="A4192" s="170"/>
      <c r="B4192" s="170"/>
    </row>
    <row r="4193" spans="1:2" x14ac:dyDescent="0.25">
      <c r="A4193" s="170"/>
      <c r="B4193" s="170"/>
    </row>
    <row r="4194" spans="1:2" x14ac:dyDescent="0.25">
      <c r="A4194" s="170"/>
      <c r="B4194" s="170"/>
    </row>
    <row r="4195" spans="1:2" x14ac:dyDescent="0.25">
      <c r="A4195" s="170"/>
      <c r="B4195" s="170"/>
    </row>
    <row r="4196" spans="1:2" x14ac:dyDescent="0.25">
      <c r="A4196" s="170"/>
      <c r="B4196" s="170"/>
    </row>
    <row r="4197" spans="1:2" x14ac:dyDescent="0.25">
      <c r="A4197" s="170"/>
      <c r="B4197" s="170"/>
    </row>
    <row r="4198" spans="1:2" x14ac:dyDescent="0.25">
      <c r="A4198" s="170"/>
      <c r="B4198" s="170"/>
    </row>
    <row r="4199" spans="1:2" x14ac:dyDescent="0.25">
      <c r="A4199" s="170"/>
      <c r="B4199" s="170"/>
    </row>
    <row r="4200" spans="1:2" x14ac:dyDescent="0.25">
      <c r="A4200" s="170"/>
      <c r="B4200" s="170"/>
    </row>
    <row r="4201" spans="1:2" x14ac:dyDescent="0.25">
      <c r="A4201" s="170"/>
      <c r="B4201" s="170"/>
    </row>
    <row r="4202" spans="1:2" x14ac:dyDescent="0.25">
      <c r="A4202" s="170"/>
      <c r="B4202" s="170"/>
    </row>
    <row r="4203" spans="1:2" x14ac:dyDescent="0.25">
      <c r="A4203" s="170"/>
      <c r="B4203" s="170"/>
    </row>
    <row r="4204" spans="1:2" x14ac:dyDescent="0.25">
      <c r="A4204" s="170"/>
      <c r="B4204" s="170"/>
    </row>
    <row r="4205" spans="1:2" x14ac:dyDescent="0.25">
      <c r="A4205" s="170"/>
      <c r="B4205" s="170"/>
    </row>
    <row r="4206" spans="1:2" x14ac:dyDescent="0.25">
      <c r="A4206" s="170"/>
      <c r="B4206" s="170"/>
    </row>
    <row r="4207" spans="1:2" x14ac:dyDescent="0.25">
      <c r="A4207" s="170"/>
      <c r="B4207" s="170"/>
    </row>
    <row r="4208" spans="1:2" x14ac:dyDescent="0.25">
      <c r="A4208" s="170"/>
      <c r="B4208" s="170"/>
    </row>
    <row r="4209" spans="1:2" x14ac:dyDescent="0.25">
      <c r="A4209" s="170"/>
      <c r="B4209" s="170"/>
    </row>
    <row r="4210" spans="1:2" x14ac:dyDescent="0.25">
      <c r="A4210" s="170"/>
      <c r="B4210" s="170"/>
    </row>
    <row r="4211" spans="1:2" x14ac:dyDescent="0.25">
      <c r="A4211" s="170"/>
      <c r="B4211" s="170"/>
    </row>
    <row r="4212" spans="1:2" x14ac:dyDescent="0.25">
      <c r="A4212" s="170"/>
      <c r="B4212" s="170"/>
    </row>
    <row r="4213" spans="1:2" x14ac:dyDescent="0.25">
      <c r="A4213" s="170"/>
      <c r="B4213" s="170"/>
    </row>
    <row r="4214" spans="1:2" x14ac:dyDescent="0.25">
      <c r="A4214" s="170"/>
      <c r="B4214" s="170"/>
    </row>
    <row r="4215" spans="1:2" x14ac:dyDescent="0.25">
      <c r="A4215" s="170"/>
      <c r="B4215" s="170"/>
    </row>
    <row r="4216" spans="1:2" x14ac:dyDescent="0.25">
      <c r="A4216" s="170"/>
      <c r="B4216" s="170"/>
    </row>
    <row r="4217" spans="1:2" x14ac:dyDescent="0.25">
      <c r="A4217" s="170"/>
      <c r="B4217" s="170"/>
    </row>
    <row r="4218" spans="1:2" x14ac:dyDescent="0.25">
      <c r="A4218" s="170"/>
      <c r="B4218" s="170"/>
    </row>
    <row r="4219" spans="1:2" x14ac:dyDescent="0.25">
      <c r="A4219" s="170"/>
      <c r="B4219" s="170"/>
    </row>
    <row r="4220" spans="1:2" x14ac:dyDescent="0.25">
      <c r="A4220" s="170"/>
      <c r="B4220" s="170"/>
    </row>
    <row r="4221" spans="1:2" x14ac:dyDescent="0.25">
      <c r="A4221" s="170"/>
      <c r="B4221" s="170"/>
    </row>
    <row r="4222" spans="1:2" x14ac:dyDescent="0.25">
      <c r="A4222" s="170"/>
      <c r="B4222" s="170"/>
    </row>
    <row r="4223" spans="1:2" x14ac:dyDescent="0.25">
      <c r="A4223" s="170"/>
      <c r="B4223" s="170"/>
    </row>
    <row r="4224" spans="1:2" x14ac:dyDescent="0.25">
      <c r="A4224" s="170"/>
      <c r="B4224" s="170"/>
    </row>
    <row r="4225" spans="1:2" x14ac:dyDescent="0.25">
      <c r="A4225" s="170"/>
      <c r="B4225" s="170"/>
    </row>
    <row r="4226" spans="1:2" x14ac:dyDescent="0.25">
      <c r="A4226" s="170"/>
      <c r="B4226" s="170"/>
    </row>
    <row r="4227" spans="1:2" x14ac:dyDescent="0.25">
      <c r="A4227" s="170"/>
      <c r="B4227" s="170"/>
    </row>
    <row r="4228" spans="1:2" x14ac:dyDescent="0.25">
      <c r="A4228" s="170"/>
      <c r="B4228" s="170"/>
    </row>
    <row r="4229" spans="1:2" x14ac:dyDescent="0.25">
      <c r="A4229" s="170"/>
      <c r="B4229" s="170"/>
    </row>
    <row r="4230" spans="1:2" x14ac:dyDescent="0.25">
      <c r="A4230" s="170"/>
      <c r="B4230" s="170"/>
    </row>
    <row r="4231" spans="1:2" x14ac:dyDescent="0.25">
      <c r="A4231" s="170"/>
      <c r="B4231" s="170"/>
    </row>
    <row r="4232" spans="1:2" x14ac:dyDescent="0.25">
      <c r="A4232" s="170"/>
      <c r="B4232" s="170"/>
    </row>
    <row r="4233" spans="1:2" x14ac:dyDescent="0.25">
      <c r="A4233" s="170"/>
      <c r="B4233" s="170"/>
    </row>
    <row r="4234" spans="1:2" x14ac:dyDescent="0.25">
      <c r="A4234" s="170"/>
      <c r="B4234" s="170"/>
    </row>
    <row r="4235" spans="1:2" x14ac:dyDescent="0.25">
      <c r="A4235" s="170"/>
      <c r="B4235" s="170"/>
    </row>
    <row r="4236" spans="1:2" x14ac:dyDescent="0.25">
      <c r="A4236" s="170"/>
      <c r="B4236" s="170"/>
    </row>
    <row r="4237" spans="1:2" x14ac:dyDescent="0.25">
      <c r="A4237" s="170"/>
      <c r="B4237" s="170"/>
    </row>
    <row r="4238" spans="1:2" x14ac:dyDescent="0.25">
      <c r="A4238" s="170"/>
      <c r="B4238" s="170"/>
    </row>
    <row r="4239" spans="1:2" x14ac:dyDescent="0.25">
      <c r="A4239" s="170"/>
      <c r="B4239" s="170"/>
    </row>
    <row r="4240" spans="1:2" x14ac:dyDescent="0.25">
      <c r="A4240" s="170"/>
      <c r="B4240" s="170"/>
    </row>
    <row r="4241" spans="1:2" x14ac:dyDescent="0.25">
      <c r="A4241" s="170"/>
      <c r="B4241" s="170"/>
    </row>
    <row r="4242" spans="1:2" x14ac:dyDescent="0.25">
      <c r="A4242" s="170"/>
      <c r="B4242" s="170"/>
    </row>
    <row r="4243" spans="1:2" x14ac:dyDescent="0.25">
      <c r="A4243" s="170"/>
      <c r="B4243" s="170"/>
    </row>
    <row r="4244" spans="1:2" x14ac:dyDescent="0.25">
      <c r="A4244" s="170"/>
      <c r="B4244" s="170"/>
    </row>
    <row r="4245" spans="1:2" x14ac:dyDescent="0.25">
      <c r="A4245" s="170"/>
      <c r="B4245" s="170"/>
    </row>
    <row r="4246" spans="1:2" x14ac:dyDescent="0.25">
      <c r="A4246" s="170"/>
      <c r="B4246" s="170"/>
    </row>
    <row r="4247" spans="1:2" x14ac:dyDescent="0.25">
      <c r="A4247" s="170"/>
      <c r="B4247" s="170"/>
    </row>
    <row r="4248" spans="1:2" x14ac:dyDescent="0.25">
      <c r="A4248" s="170"/>
      <c r="B4248" s="170"/>
    </row>
    <row r="4249" spans="1:2" x14ac:dyDescent="0.25">
      <c r="A4249" s="170"/>
      <c r="B4249" s="170"/>
    </row>
    <row r="4250" spans="1:2" x14ac:dyDescent="0.25">
      <c r="A4250" s="170"/>
      <c r="B4250" s="170"/>
    </row>
    <row r="4251" spans="1:2" x14ac:dyDescent="0.25">
      <c r="A4251" s="170"/>
      <c r="B4251" s="170"/>
    </row>
    <row r="4252" spans="1:2" x14ac:dyDescent="0.25">
      <c r="A4252" s="170"/>
      <c r="B4252" s="170"/>
    </row>
    <row r="4253" spans="1:2" x14ac:dyDescent="0.25">
      <c r="A4253" s="170"/>
      <c r="B4253" s="170"/>
    </row>
    <row r="4254" spans="1:2" x14ac:dyDescent="0.25">
      <c r="A4254" s="170"/>
      <c r="B4254" s="170"/>
    </row>
    <row r="4255" spans="1:2" x14ac:dyDescent="0.25">
      <c r="A4255" s="170"/>
      <c r="B4255" s="170"/>
    </row>
    <row r="4256" spans="1:2" x14ac:dyDescent="0.25">
      <c r="A4256" s="170"/>
      <c r="B4256" s="170"/>
    </row>
    <row r="4257" spans="1:2" x14ac:dyDescent="0.25">
      <c r="A4257" s="170"/>
      <c r="B4257" s="170"/>
    </row>
    <row r="4258" spans="1:2" x14ac:dyDescent="0.25">
      <c r="A4258" s="170"/>
      <c r="B4258" s="170"/>
    </row>
    <row r="4259" spans="1:2" x14ac:dyDescent="0.25">
      <c r="A4259" s="170"/>
      <c r="B4259" s="170"/>
    </row>
    <row r="4260" spans="1:2" x14ac:dyDescent="0.25">
      <c r="A4260" s="170"/>
      <c r="B4260" s="170"/>
    </row>
    <row r="4261" spans="1:2" x14ac:dyDescent="0.25">
      <c r="A4261" s="170"/>
      <c r="B4261" s="170"/>
    </row>
    <row r="4262" spans="1:2" x14ac:dyDescent="0.25">
      <c r="A4262" s="170"/>
      <c r="B4262" s="170"/>
    </row>
    <row r="4263" spans="1:2" x14ac:dyDescent="0.25">
      <c r="A4263" s="170"/>
      <c r="B4263" s="170"/>
    </row>
    <row r="4264" spans="1:2" x14ac:dyDescent="0.25">
      <c r="A4264" s="170"/>
      <c r="B4264" s="170"/>
    </row>
    <row r="4265" spans="1:2" x14ac:dyDescent="0.25">
      <c r="A4265" s="170"/>
      <c r="B4265" s="170"/>
    </row>
    <row r="4266" spans="1:2" x14ac:dyDescent="0.25">
      <c r="A4266" s="170"/>
      <c r="B4266" s="170"/>
    </row>
    <row r="4267" spans="1:2" x14ac:dyDescent="0.25">
      <c r="A4267" s="170"/>
      <c r="B4267" s="170"/>
    </row>
    <row r="4268" spans="1:2" x14ac:dyDescent="0.25">
      <c r="A4268" s="170"/>
      <c r="B4268" s="170"/>
    </row>
    <row r="4269" spans="1:2" x14ac:dyDescent="0.25">
      <c r="A4269" s="170"/>
      <c r="B4269" s="170"/>
    </row>
    <row r="4270" spans="1:2" x14ac:dyDescent="0.25">
      <c r="A4270" s="170"/>
      <c r="B4270" s="170"/>
    </row>
    <row r="4271" spans="1:2" x14ac:dyDescent="0.25">
      <c r="A4271" s="170"/>
      <c r="B4271" s="170"/>
    </row>
    <row r="4272" spans="1:2" x14ac:dyDescent="0.25">
      <c r="A4272" s="170"/>
      <c r="B4272" s="170"/>
    </row>
    <row r="4273" spans="1:2" x14ac:dyDescent="0.25">
      <c r="A4273" s="170"/>
      <c r="B4273" s="170"/>
    </row>
    <row r="4274" spans="1:2" x14ac:dyDescent="0.25">
      <c r="A4274" s="170"/>
      <c r="B4274" s="170"/>
    </row>
    <row r="4275" spans="1:2" x14ac:dyDescent="0.25">
      <c r="A4275" s="170"/>
      <c r="B4275" s="170"/>
    </row>
    <row r="4276" spans="1:2" x14ac:dyDescent="0.25">
      <c r="A4276" s="170"/>
      <c r="B4276" s="170"/>
    </row>
    <row r="4277" spans="1:2" x14ac:dyDescent="0.25">
      <c r="A4277" s="170"/>
      <c r="B4277" s="170"/>
    </row>
    <row r="4278" spans="1:2" x14ac:dyDescent="0.25">
      <c r="A4278" s="170"/>
      <c r="B4278" s="170"/>
    </row>
    <row r="4279" spans="1:2" x14ac:dyDescent="0.25">
      <c r="A4279" s="170"/>
      <c r="B4279" s="170"/>
    </row>
    <row r="4280" spans="1:2" x14ac:dyDescent="0.25">
      <c r="A4280" s="170"/>
      <c r="B4280" s="170"/>
    </row>
    <row r="4281" spans="1:2" x14ac:dyDescent="0.25">
      <c r="A4281" s="170"/>
      <c r="B4281" s="170"/>
    </row>
    <row r="4282" spans="1:2" x14ac:dyDescent="0.25">
      <c r="A4282" s="170"/>
      <c r="B4282" s="170"/>
    </row>
    <row r="4283" spans="1:2" x14ac:dyDescent="0.25">
      <c r="A4283" s="170"/>
      <c r="B4283" s="170"/>
    </row>
    <row r="4284" spans="1:2" x14ac:dyDescent="0.25">
      <c r="A4284" s="170"/>
      <c r="B4284" s="170"/>
    </row>
    <row r="4285" spans="1:2" x14ac:dyDescent="0.25">
      <c r="A4285" s="170"/>
      <c r="B4285" s="170"/>
    </row>
    <row r="4286" spans="1:2" x14ac:dyDescent="0.25">
      <c r="A4286" s="170"/>
      <c r="B4286" s="170"/>
    </row>
    <row r="4287" spans="1:2" x14ac:dyDescent="0.25">
      <c r="A4287" s="170"/>
      <c r="B4287" s="170"/>
    </row>
    <row r="4288" spans="1:2" x14ac:dyDescent="0.25">
      <c r="A4288" s="170"/>
      <c r="B4288" s="170"/>
    </row>
    <row r="4289" spans="1:2" x14ac:dyDescent="0.25">
      <c r="A4289" s="170"/>
      <c r="B4289" s="170"/>
    </row>
    <row r="4290" spans="1:2" x14ac:dyDescent="0.25">
      <c r="A4290" s="170"/>
      <c r="B4290" s="170"/>
    </row>
    <row r="4291" spans="1:2" x14ac:dyDescent="0.25">
      <c r="A4291" s="170"/>
      <c r="B4291" s="170"/>
    </row>
    <row r="4292" spans="1:2" x14ac:dyDescent="0.25">
      <c r="A4292" s="170"/>
      <c r="B4292" s="170"/>
    </row>
    <row r="4293" spans="1:2" x14ac:dyDescent="0.25">
      <c r="A4293" s="170"/>
      <c r="B4293" s="170"/>
    </row>
    <row r="4294" spans="1:2" x14ac:dyDescent="0.25">
      <c r="A4294" s="170"/>
      <c r="B4294" s="170"/>
    </row>
    <row r="4295" spans="1:2" x14ac:dyDescent="0.25">
      <c r="A4295" s="170"/>
      <c r="B4295" s="170"/>
    </row>
    <row r="4296" spans="1:2" x14ac:dyDescent="0.25">
      <c r="A4296" s="170"/>
      <c r="B4296" s="170"/>
    </row>
    <row r="4297" spans="1:2" x14ac:dyDescent="0.25">
      <c r="A4297" s="170"/>
      <c r="B4297" s="170"/>
    </row>
    <row r="4298" spans="1:2" x14ac:dyDescent="0.25">
      <c r="A4298" s="170"/>
      <c r="B4298" s="170"/>
    </row>
    <row r="4299" spans="1:2" x14ac:dyDescent="0.25">
      <c r="A4299" s="170"/>
      <c r="B4299" s="170"/>
    </row>
    <row r="4300" spans="1:2" x14ac:dyDescent="0.25">
      <c r="A4300" s="170"/>
      <c r="B4300" s="170"/>
    </row>
    <row r="4301" spans="1:2" x14ac:dyDescent="0.25">
      <c r="A4301" s="170"/>
      <c r="B4301" s="170"/>
    </row>
    <row r="4302" spans="1:2" x14ac:dyDescent="0.25">
      <c r="A4302" s="170"/>
      <c r="B4302" s="170"/>
    </row>
    <row r="4303" spans="1:2" x14ac:dyDescent="0.25">
      <c r="A4303" s="170"/>
      <c r="B4303" s="170"/>
    </row>
    <row r="4304" spans="1:2" x14ac:dyDescent="0.25">
      <c r="A4304" s="170"/>
      <c r="B4304" s="170"/>
    </row>
    <row r="4305" spans="1:2" x14ac:dyDescent="0.25">
      <c r="A4305" s="170"/>
      <c r="B4305" s="170"/>
    </row>
    <row r="4306" spans="1:2" x14ac:dyDescent="0.25">
      <c r="A4306" s="170"/>
      <c r="B4306" s="170"/>
    </row>
    <row r="4307" spans="1:2" x14ac:dyDescent="0.25">
      <c r="A4307" s="170"/>
      <c r="B4307" s="170"/>
    </row>
    <row r="4308" spans="1:2" x14ac:dyDescent="0.25">
      <c r="A4308" s="170"/>
      <c r="B4308" s="170"/>
    </row>
    <row r="4309" spans="1:2" x14ac:dyDescent="0.25">
      <c r="A4309" s="170"/>
      <c r="B4309" s="170"/>
    </row>
    <row r="4310" spans="1:2" x14ac:dyDescent="0.25">
      <c r="A4310" s="170"/>
      <c r="B4310" s="170"/>
    </row>
    <row r="4311" spans="1:2" x14ac:dyDescent="0.25">
      <c r="A4311" s="170"/>
      <c r="B4311" s="170"/>
    </row>
    <row r="4312" spans="1:2" x14ac:dyDescent="0.25">
      <c r="A4312" s="170"/>
      <c r="B4312" s="170"/>
    </row>
    <row r="4313" spans="1:2" x14ac:dyDescent="0.25">
      <c r="A4313" s="170"/>
      <c r="B4313" s="170"/>
    </row>
    <row r="4314" spans="1:2" x14ac:dyDescent="0.25">
      <c r="A4314" s="170"/>
      <c r="B4314" s="170"/>
    </row>
    <row r="4315" spans="1:2" x14ac:dyDescent="0.25">
      <c r="A4315" s="170"/>
      <c r="B4315" s="170"/>
    </row>
    <row r="4316" spans="1:2" x14ac:dyDescent="0.25">
      <c r="A4316" s="170"/>
      <c r="B4316" s="170"/>
    </row>
    <row r="4317" spans="1:2" x14ac:dyDescent="0.25">
      <c r="A4317" s="170"/>
      <c r="B4317" s="170"/>
    </row>
    <row r="4318" spans="1:2" x14ac:dyDescent="0.25">
      <c r="A4318" s="170"/>
      <c r="B4318" s="170"/>
    </row>
    <row r="4319" spans="1:2" x14ac:dyDescent="0.25">
      <c r="A4319" s="170"/>
      <c r="B4319" s="170"/>
    </row>
    <row r="4320" spans="1:2" x14ac:dyDescent="0.25">
      <c r="A4320" s="170"/>
      <c r="B4320" s="170"/>
    </row>
    <row r="4321" spans="1:2" x14ac:dyDescent="0.25">
      <c r="A4321" s="170"/>
      <c r="B4321" s="170"/>
    </row>
    <row r="4322" spans="1:2" x14ac:dyDescent="0.25">
      <c r="A4322" s="170"/>
      <c r="B4322" s="170"/>
    </row>
    <row r="4323" spans="1:2" x14ac:dyDescent="0.25">
      <c r="A4323" s="170"/>
      <c r="B4323" s="170"/>
    </row>
    <row r="4324" spans="1:2" x14ac:dyDescent="0.25">
      <c r="A4324" s="170"/>
      <c r="B4324" s="170"/>
    </row>
    <row r="4325" spans="1:2" x14ac:dyDescent="0.25">
      <c r="A4325" s="170"/>
      <c r="B4325" s="170"/>
    </row>
    <row r="4326" spans="1:2" x14ac:dyDescent="0.25">
      <c r="A4326" s="170"/>
      <c r="B4326" s="170"/>
    </row>
    <row r="4327" spans="1:2" x14ac:dyDescent="0.25">
      <c r="A4327" s="170"/>
      <c r="B4327" s="170"/>
    </row>
    <row r="4328" spans="1:2" x14ac:dyDescent="0.25">
      <c r="A4328" s="170"/>
      <c r="B4328" s="170"/>
    </row>
    <row r="4329" spans="1:2" x14ac:dyDescent="0.25">
      <c r="A4329" s="170"/>
      <c r="B4329" s="170"/>
    </row>
    <row r="4330" spans="1:2" x14ac:dyDescent="0.25">
      <c r="A4330" s="170"/>
      <c r="B4330" s="170"/>
    </row>
    <row r="4331" spans="1:2" x14ac:dyDescent="0.25">
      <c r="A4331" s="170"/>
      <c r="B4331" s="170"/>
    </row>
    <row r="4332" spans="1:2" x14ac:dyDescent="0.25">
      <c r="A4332" s="170"/>
      <c r="B4332" s="170"/>
    </row>
    <row r="4333" spans="1:2" x14ac:dyDescent="0.25">
      <c r="A4333" s="170"/>
      <c r="B4333" s="170"/>
    </row>
    <row r="4334" spans="1:2" x14ac:dyDescent="0.25">
      <c r="A4334" s="170"/>
      <c r="B4334" s="170"/>
    </row>
    <row r="4335" spans="1:2" x14ac:dyDescent="0.25">
      <c r="A4335" s="170"/>
      <c r="B4335" s="170"/>
    </row>
    <row r="4336" spans="1:2" x14ac:dyDescent="0.25">
      <c r="A4336" s="170"/>
      <c r="B4336" s="170"/>
    </row>
    <row r="4337" spans="1:2" x14ac:dyDescent="0.25">
      <c r="A4337" s="170"/>
      <c r="B4337" s="170"/>
    </row>
    <row r="4338" spans="1:2" x14ac:dyDescent="0.25">
      <c r="A4338" s="170"/>
      <c r="B4338" s="170"/>
    </row>
    <row r="4339" spans="1:2" x14ac:dyDescent="0.25">
      <c r="A4339" s="170"/>
      <c r="B4339" s="170"/>
    </row>
    <row r="4340" spans="1:2" x14ac:dyDescent="0.25">
      <c r="A4340" s="170"/>
      <c r="B4340" s="170"/>
    </row>
    <row r="4341" spans="1:2" x14ac:dyDescent="0.25">
      <c r="A4341" s="170"/>
      <c r="B4341" s="170"/>
    </row>
    <row r="4342" spans="1:2" x14ac:dyDescent="0.25">
      <c r="A4342" s="170"/>
      <c r="B4342" s="170"/>
    </row>
    <row r="4343" spans="1:2" x14ac:dyDescent="0.25">
      <c r="A4343" s="170"/>
      <c r="B4343" s="170"/>
    </row>
    <row r="4344" spans="1:2" x14ac:dyDescent="0.25">
      <c r="A4344" s="170"/>
      <c r="B4344" s="170"/>
    </row>
    <row r="4345" spans="1:2" x14ac:dyDescent="0.25">
      <c r="A4345" s="170"/>
      <c r="B4345" s="170"/>
    </row>
    <row r="4346" spans="1:2" x14ac:dyDescent="0.25">
      <c r="A4346" s="170"/>
      <c r="B4346" s="170"/>
    </row>
    <row r="4347" spans="1:2" x14ac:dyDescent="0.25">
      <c r="A4347" s="170"/>
      <c r="B4347" s="170"/>
    </row>
    <row r="4348" spans="1:2" x14ac:dyDescent="0.25">
      <c r="A4348" s="170"/>
      <c r="B4348" s="170"/>
    </row>
    <row r="4349" spans="1:2" x14ac:dyDescent="0.25">
      <c r="A4349" s="170"/>
      <c r="B4349" s="170"/>
    </row>
    <row r="4350" spans="1:2" x14ac:dyDescent="0.25">
      <c r="A4350" s="170"/>
      <c r="B4350" s="170"/>
    </row>
    <row r="4351" spans="1:2" x14ac:dyDescent="0.25">
      <c r="A4351" s="170"/>
      <c r="B4351" s="170"/>
    </row>
    <row r="4352" spans="1:2" x14ac:dyDescent="0.25">
      <c r="A4352" s="170"/>
      <c r="B4352" s="170"/>
    </row>
    <row r="4353" spans="1:2" x14ac:dyDescent="0.25">
      <c r="A4353" s="170"/>
      <c r="B4353" s="170"/>
    </row>
    <row r="4354" spans="1:2" x14ac:dyDescent="0.25">
      <c r="A4354" s="170"/>
      <c r="B4354" s="170"/>
    </row>
    <row r="4355" spans="1:2" x14ac:dyDescent="0.25">
      <c r="A4355" s="170"/>
      <c r="B4355" s="170"/>
    </row>
    <row r="4356" spans="1:2" x14ac:dyDescent="0.25">
      <c r="A4356" s="170"/>
      <c r="B4356" s="170"/>
    </row>
    <row r="4357" spans="1:2" x14ac:dyDescent="0.25">
      <c r="A4357" s="170"/>
      <c r="B4357" s="170"/>
    </row>
    <row r="4358" spans="1:2" x14ac:dyDescent="0.25">
      <c r="A4358" s="170"/>
      <c r="B4358" s="170"/>
    </row>
    <row r="4359" spans="1:2" x14ac:dyDescent="0.25">
      <c r="A4359" s="170"/>
      <c r="B4359" s="170"/>
    </row>
    <row r="4360" spans="1:2" x14ac:dyDescent="0.25">
      <c r="A4360" s="170"/>
      <c r="B4360" s="170"/>
    </row>
    <row r="4361" spans="1:2" x14ac:dyDescent="0.25">
      <c r="A4361" s="170"/>
      <c r="B4361" s="170"/>
    </row>
    <row r="4362" spans="1:2" x14ac:dyDescent="0.25">
      <c r="A4362" s="170"/>
      <c r="B4362" s="170"/>
    </row>
    <row r="4363" spans="1:2" x14ac:dyDescent="0.25">
      <c r="A4363" s="170"/>
      <c r="B4363" s="170"/>
    </row>
    <row r="4364" spans="1:2" x14ac:dyDescent="0.25">
      <c r="A4364" s="170"/>
      <c r="B4364" s="170"/>
    </row>
    <row r="4365" spans="1:2" x14ac:dyDescent="0.25">
      <c r="A4365" s="170"/>
      <c r="B4365" s="170"/>
    </row>
    <row r="4366" spans="1:2" x14ac:dyDescent="0.25">
      <c r="A4366" s="170"/>
      <c r="B4366" s="170"/>
    </row>
    <row r="4367" spans="1:2" x14ac:dyDescent="0.25">
      <c r="A4367" s="170"/>
      <c r="B4367" s="170"/>
    </row>
    <row r="4368" spans="1:2" x14ac:dyDescent="0.25">
      <c r="A4368" s="170"/>
      <c r="B4368" s="170"/>
    </row>
    <row r="4369" spans="1:2" x14ac:dyDescent="0.25">
      <c r="A4369" s="170"/>
      <c r="B4369" s="170"/>
    </row>
    <row r="4370" spans="1:2" x14ac:dyDescent="0.25">
      <c r="A4370" s="170"/>
      <c r="B4370" s="170"/>
    </row>
    <row r="4371" spans="1:2" x14ac:dyDescent="0.25">
      <c r="A4371" s="170"/>
      <c r="B4371" s="170"/>
    </row>
    <row r="4372" spans="1:2" x14ac:dyDescent="0.25">
      <c r="A4372" s="170"/>
      <c r="B4372" s="170"/>
    </row>
    <row r="4373" spans="1:2" x14ac:dyDescent="0.25">
      <c r="A4373" s="170"/>
      <c r="B4373" s="170"/>
    </row>
    <row r="4374" spans="1:2" x14ac:dyDescent="0.25">
      <c r="A4374" s="170"/>
      <c r="B4374" s="170"/>
    </row>
    <row r="4375" spans="1:2" x14ac:dyDescent="0.25">
      <c r="A4375" s="170"/>
      <c r="B4375" s="170"/>
    </row>
    <row r="4376" spans="1:2" x14ac:dyDescent="0.25">
      <c r="A4376" s="170"/>
      <c r="B4376" s="170"/>
    </row>
    <row r="4377" spans="1:2" x14ac:dyDescent="0.25">
      <c r="A4377" s="170"/>
      <c r="B4377" s="170"/>
    </row>
    <row r="4378" spans="1:2" x14ac:dyDescent="0.25">
      <c r="A4378" s="170"/>
      <c r="B4378" s="170"/>
    </row>
    <row r="4379" spans="1:2" x14ac:dyDescent="0.25">
      <c r="A4379" s="170"/>
      <c r="B4379" s="170"/>
    </row>
    <row r="4380" spans="1:2" x14ac:dyDescent="0.25">
      <c r="A4380" s="170"/>
      <c r="B4380" s="170"/>
    </row>
    <row r="4381" spans="1:2" x14ac:dyDescent="0.25">
      <c r="A4381" s="170"/>
      <c r="B4381" s="170"/>
    </row>
    <row r="4382" spans="1:2" x14ac:dyDescent="0.25">
      <c r="A4382" s="170"/>
      <c r="B4382" s="170"/>
    </row>
    <row r="4383" spans="1:2" x14ac:dyDescent="0.25">
      <c r="A4383" s="170"/>
      <c r="B4383" s="170"/>
    </row>
    <row r="4384" spans="1:2" x14ac:dyDescent="0.25">
      <c r="A4384" s="170"/>
      <c r="B4384" s="170"/>
    </row>
    <row r="4385" spans="1:2" x14ac:dyDescent="0.25">
      <c r="A4385" s="170"/>
      <c r="B4385" s="170"/>
    </row>
    <row r="4386" spans="1:2" x14ac:dyDescent="0.25">
      <c r="A4386" s="170"/>
      <c r="B4386" s="170"/>
    </row>
    <row r="4387" spans="1:2" x14ac:dyDescent="0.25">
      <c r="A4387" s="170"/>
      <c r="B4387" s="170"/>
    </row>
    <row r="4388" spans="1:2" x14ac:dyDescent="0.25">
      <c r="A4388" s="170"/>
      <c r="B4388" s="170"/>
    </row>
    <row r="4389" spans="1:2" x14ac:dyDescent="0.25">
      <c r="A4389" s="170"/>
      <c r="B4389" s="170"/>
    </row>
    <row r="4390" spans="1:2" x14ac:dyDescent="0.25">
      <c r="A4390" s="170"/>
      <c r="B4390" s="170"/>
    </row>
    <row r="4391" spans="1:2" x14ac:dyDescent="0.25">
      <c r="A4391" s="170"/>
      <c r="B4391" s="170"/>
    </row>
    <row r="4392" spans="1:2" x14ac:dyDescent="0.25">
      <c r="A4392" s="170"/>
      <c r="B4392" s="170"/>
    </row>
    <row r="4393" spans="1:2" x14ac:dyDescent="0.25">
      <c r="A4393" s="170"/>
      <c r="B4393" s="170"/>
    </row>
    <row r="4394" spans="1:2" x14ac:dyDescent="0.25">
      <c r="A4394" s="170"/>
      <c r="B4394" s="170"/>
    </row>
    <row r="4395" spans="1:2" x14ac:dyDescent="0.25">
      <c r="A4395" s="170"/>
      <c r="B4395" s="170"/>
    </row>
    <row r="4396" spans="1:2" x14ac:dyDescent="0.25">
      <c r="A4396" s="170"/>
      <c r="B4396" s="170"/>
    </row>
    <row r="4397" spans="1:2" x14ac:dyDescent="0.25">
      <c r="A4397" s="170"/>
      <c r="B4397" s="170"/>
    </row>
    <row r="4398" spans="1:2" x14ac:dyDescent="0.25">
      <c r="A4398" s="170"/>
      <c r="B4398" s="170"/>
    </row>
    <row r="4399" spans="1:2" x14ac:dyDescent="0.25">
      <c r="A4399" s="170"/>
      <c r="B4399" s="170"/>
    </row>
    <row r="4400" spans="1:2" x14ac:dyDescent="0.25">
      <c r="A4400" s="170"/>
      <c r="B4400" s="170"/>
    </row>
    <row r="4401" spans="1:2" x14ac:dyDescent="0.25">
      <c r="A4401" s="170"/>
      <c r="B4401" s="170"/>
    </row>
    <row r="4402" spans="1:2" x14ac:dyDescent="0.25">
      <c r="A4402" s="170"/>
      <c r="B4402" s="170"/>
    </row>
    <row r="4403" spans="1:2" x14ac:dyDescent="0.25">
      <c r="A4403" s="170"/>
      <c r="B4403" s="170"/>
    </row>
    <row r="4404" spans="1:2" x14ac:dyDescent="0.25">
      <c r="A4404" s="170"/>
      <c r="B4404" s="170"/>
    </row>
    <row r="4405" spans="1:2" x14ac:dyDescent="0.25">
      <c r="A4405" s="170"/>
      <c r="B4405" s="170"/>
    </row>
    <row r="4406" spans="1:2" x14ac:dyDescent="0.25">
      <c r="A4406" s="170"/>
      <c r="B4406" s="170"/>
    </row>
    <row r="4407" spans="1:2" x14ac:dyDescent="0.25">
      <c r="A4407" s="170"/>
      <c r="B4407" s="170"/>
    </row>
    <row r="4408" spans="1:2" x14ac:dyDescent="0.25">
      <c r="A4408" s="170"/>
      <c r="B4408" s="170"/>
    </row>
    <row r="4409" spans="1:2" x14ac:dyDescent="0.25">
      <c r="A4409" s="170"/>
      <c r="B4409" s="170"/>
    </row>
    <row r="4410" spans="1:2" x14ac:dyDescent="0.25">
      <c r="A4410" s="170"/>
      <c r="B4410" s="170"/>
    </row>
    <row r="4411" spans="1:2" x14ac:dyDescent="0.25">
      <c r="A4411" s="170"/>
      <c r="B4411" s="170"/>
    </row>
    <row r="4412" spans="1:2" x14ac:dyDescent="0.25">
      <c r="A4412" s="170"/>
      <c r="B4412" s="170"/>
    </row>
    <row r="4413" spans="1:2" x14ac:dyDescent="0.25">
      <c r="A4413" s="170"/>
      <c r="B4413" s="170"/>
    </row>
    <row r="4414" spans="1:2" x14ac:dyDescent="0.25">
      <c r="A4414" s="170"/>
      <c r="B4414" s="170"/>
    </row>
    <row r="4415" spans="1:2" x14ac:dyDescent="0.25">
      <c r="A4415" s="170"/>
      <c r="B4415" s="170"/>
    </row>
    <row r="4416" spans="1:2" x14ac:dyDescent="0.25">
      <c r="A4416" s="170"/>
      <c r="B4416" s="170"/>
    </row>
    <row r="4417" spans="1:2" x14ac:dyDescent="0.25">
      <c r="A4417" s="170"/>
      <c r="B4417" s="170"/>
    </row>
    <row r="4418" spans="1:2" x14ac:dyDescent="0.25">
      <c r="A4418" s="170"/>
      <c r="B4418" s="170"/>
    </row>
    <row r="4419" spans="1:2" x14ac:dyDescent="0.25">
      <c r="A4419" s="170"/>
      <c r="B4419" s="170"/>
    </row>
    <row r="4420" spans="1:2" x14ac:dyDescent="0.25">
      <c r="A4420" s="170"/>
      <c r="B4420" s="170"/>
    </row>
    <row r="4421" spans="1:2" x14ac:dyDescent="0.25">
      <c r="A4421" s="170"/>
      <c r="B4421" s="170"/>
    </row>
    <row r="4422" spans="1:2" x14ac:dyDescent="0.25">
      <c r="A4422" s="170"/>
      <c r="B4422" s="170"/>
    </row>
    <row r="4423" spans="1:2" x14ac:dyDescent="0.25">
      <c r="A4423" s="170"/>
      <c r="B4423" s="170"/>
    </row>
    <row r="4424" spans="1:2" x14ac:dyDescent="0.25">
      <c r="A4424" s="170"/>
      <c r="B4424" s="170"/>
    </row>
    <row r="4425" spans="1:2" x14ac:dyDescent="0.25">
      <c r="A4425" s="170"/>
      <c r="B4425" s="170"/>
    </row>
    <row r="4426" spans="1:2" x14ac:dyDescent="0.25">
      <c r="A4426" s="170"/>
      <c r="B4426" s="170"/>
    </row>
    <row r="4427" spans="1:2" x14ac:dyDescent="0.25">
      <c r="A4427" s="170"/>
      <c r="B4427" s="170"/>
    </row>
    <row r="4428" spans="1:2" x14ac:dyDescent="0.25">
      <c r="A4428" s="170"/>
      <c r="B4428" s="170"/>
    </row>
    <row r="4429" spans="1:2" x14ac:dyDescent="0.25">
      <c r="A4429" s="170"/>
      <c r="B4429" s="170"/>
    </row>
    <row r="4430" spans="1:2" x14ac:dyDescent="0.25">
      <c r="A4430" s="170"/>
      <c r="B4430" s="170"/>
    </row>
    <row r="4431" spans="1:2" x14ac:dyDescent="0.25">
      <c r="A4431" s="170"/>
      <c r="B4431" s="170"/>
    </row>
    <row r="4432" spans="1:2" x14ac:dyDescent="0.25">
      <c r="A4432" s="170"/>
      <c r="B4432" s="170"/>
    </row>
    <row r="4433" spans="1:2" x14ac:dyDescent="0.25">
      <c r="A4433" s="170"/>
      <c r="B4433" s="170"/>
    </row>
    <row r="4434" spans="1:2" x14ac:dyDescent="0.25">
      <c r="A4434" s="170"/>
      <c r="B4434" s="170"/>
    </row>
    <row r="4435" spans="1:2" x14ac:dyDescent="0.25">
      <c r="A4435" s="170"/>
      <c r="B4435" s="170"/>
    </row>
    <row r="4436" spans="1:2" x14ac:dyDescent="0.25">
      <c r="A4436" s="170"/>
      <c r="B4436" s="170"/>
    </row>
    <row r="4437" spans="1:2" x14ac:dyDescent="0.25">
      <c r="A4437" s="170"/>
      <c r="B4437" s="170"/>
    </row>
    <row r="4438" spans="1:2" x14ac:dyDescent="0.25">
      <c r="A4438" s="170"/>
      <c r="B4438" s="170"/>
    </row>
    <row r="4439" spans="1:2" x14ac:dyDescent="0.25">
      <c r="A4439" s="170"/>
      <c r="B4439" s="170"/>
    </row>
    <row r="4440" spans="1:2" x14ac:dyDescent="0.25">
      <c r="A4440" s="170"/>
      <c r="B4440" s="170"/>
    </row>
    <row r="4441" spans="1:2" x14ac:dyDescent="0.25">
      <c r="A4441" s="170"/>
      <c r="B4441" s="170"/>
    </row>
    <row r="4442" spans="1:2" x14ac:dyDescent="0.25">
      <c r="A4442" s="170"/>
      <c r="B4442" s="170"/>
    </row>
    <row r="4443" spans="1:2" x14ac:dyDescent="0.25">
      <c r="A4443" s="170"/>
      <c r="B4443" s="170"/>
    </row>
    <row r="4444" spans="1:2" x14ac:dyDescent="0.25">
      <c r="A4444" s="170"/>
      <c r="B4444" s="170"/>
    </row>
    <row r="4445" spans="1:2" x14ac:dyDescent="0.25">
      <c r="A4445" s="170"/>
      <c r="B4445" s="170"/>
    </row>
    <row r="4446" spans="1:2" x14ac:dyDescent="0.25">
      <c r="A4446" s="170"/>
      <c r="B4446" s="170"/>
    </row>
    <row r="4447" spans="1:2" x14ac:dyDescent="0.25">
      <c r="A4447" s="170"/>
      <c r="B4447" s="170"/>
    </row>
    <row r="4448" spans="1:2" x14ac:dyDescent="0.25">
      <c r="A4448" s="170"/>
      <c r="B4448" s="170"/>
    </row>
    <row r="4449" spans="1:2" x14ac:dyDescent="0.25">
      <c r="A4449" s="170"/>
      <c r="B4449" s="170"/>
    </row>
    <row r="4450" spans="1:2" x14ac:dyDescent="0.25">
      <c r="A4450" s="170"/>
      <c r="B4450" s="170"/>
    </row>
    <row r="4451" spans="1:2" x14ac:dyDescent="0.25">
      <c r="A4451" s="170"/>
      <c r="B4451" s="170"/>
    </row>
    <row r="4452" spans="1:2" x14ac:dyDescent="0.25">
      <c r="A4452" s="170"/>
      <c r="B4452" s="170"/>
    </row>
    <row r="4453" spans="1:2" x14ac:dyDescent="0.25">
      <c r="A4453" s="170"/>
      <c r="B4453" s="170"/>
    </row>
    <row r="4454" spans="1:2" x14ac:dyDescent="0.25">
      <c r="A4454" s="170"/>
      <c r="B4454" s="170"/>
    </row>
    <row r="4455" spans="1:2" x14ac:dyDescent="0.25">
      <c r="A4455" s="170"/>
      <c r="B4455" s="170"/>
    </row>
    <row r="4456" spans="1:2" x14ac:dyDescent="0.25">
      <c r="A4456" s="170"/>
      <c r="B4456" s="170"/>
    </row>
    <row r="4457" spans="1:2" x14ac:dyDescent="0.25">
      <c r="A4457" s="170"/>
      <c r="B4457" s="170"/>
    </row>
    <row r="4458" spans="1:2" x14ac:dyDescent="0.25">
      <c r="A4458" s="170"/>
      <c r="B4458" s="170"/>
    </row>
    <row r="4459" spans="1:2" x14ac:dyDescent="0.25">
      <c r="A4459" s="170"/>
      <c r="B4459" s="170"/>
    </row>
    <row r="4460" spans="1:2" x14ac:dyDescent="0.25">
      <c r="A4460" s="170"/>
      <c r="B4460" s="170"/>
    </row>
    <row r="4461" spans="1:2" x14ac:dyDescent="0.25">
      <c r="A4461" s="170"/>
      <c r="B4461" s="170"/>
    </row>
    <row r="4462" spans="1:2" x14ac:dyDescent="0.25">
      <c r="A4462" s="170"/>
      <c r="B4462" s="170"/>
    </row>
    <row r="4463" spans="1:2" x14ac:dyDescent="0.25">
      <c r="A4463" s="170"/>
      <c r="B4463" s="170"/>
    </row>
    <row r="4464" spans="1:2" x14ac:dyDescent="0.25">
      <c r="A4464" s="170"/>
      <c r="B4464" s="170"/>
    </row>
    <row r="4465" spans="1:2" x14ac:dyDescent="0.25">
      <c r="A4465" s="170"/>
      <c r="B4465" s="170"/>
    </row>
    <row r="4466" spans="1:2" x14ac:dyDescent="0.25">
      <c r="A4466" s="170"/>
      <c r="B4466" s="170"/>
    </row>
    <row r="4467" spans="1:2" x14ac:dyDescent="0.25">
      <c r="A4467" s="170"/>
      <c r="B4467" s="170"/>
    </row>
    <row r="4468" spans="1:2" x14ac:dyDescent="0.25">
      <c r="A4468" s="170"/>
      <c r="B4468" s="170"/>
    </row>
    <row r="4469" spans="1:2" x14ac:dyDescent="0.25">
      <c r="A4469" s="170"/>
      <c r="B4469" s="170"/>
    </row>
    <row r="4470" spans="1:2" x14ac:dyDescent="0.25">
      <c r="A4470" s="170"/>
      <c r="B4470" s="170"/>
    </row>
    <row r="4471" spans="1:2" x14ac:dyDescent="0.25">
      <c r="A4471" s="170"/>
      <c r="B4471" s="170"/>
    </row>
    <row r="4472" spans="1:2" x14ac:dyDescent="0.25">
      <c r="A4472" s="170"/>
      <c r="B4472" s="170"/>
    </row>
    <row r="4473" spans="1:2" x14ac:dyDescent="0.25">
      <c r="A4473" s="170"/>
      <c r="B4473" s="170"/>
    </row>
    <row r="4474" spans="1:2" x14ac:dyDescent="0.25">
      <c r="A4474" s="170"/>
      <c r="B4474" s="170"/>
    </row>
    <row r="4475" spans="1:2" x14ac:dyDescent="0.25">
      <c r="A4475" s="170"/>
      <c r="B4475" s="170"/>
    </row>
    <row r="4476" spans="1:2" x14ac:dyDescent="0.25">
      <c r="A4476" s="170"/>
      <c r="B4476" s="170"/>
    </row>
    <row r="4477" spans="1:2" x14ac:dyDescent="0.25">
      <c r="A4477" s="170"/>
      <c r="B4477" s="170"/>
    </row>
    <row r="4478" spans="1:2" x14ac:dyDescent="0.25">
      <c r="A4478" s="170"/>
      <c r="B4478" s="170"/>
    </row>
    <row r="4479" spans="1:2" x14ac:dyDescent="0.25">
      <c r="A4479" s="170"/>
      <c r="B4479" s="170"/>
    </row>
    <row r="4480" spans="1:2" x14ac:dyDescent="0.25">
      <c r="A4480" s="170"/>
      <c r="B4480" s="170"/>
    </row>
    <row r="4481" spans="1:2" x14ac:dyDescent="0.25">
      <c r="A4481" s="170"/>
      <c r="B4481" s="170"/>
    </row>
    <row r="4482" spans="1:2" x14ac:dyDescent="0.25">
      <c r="A4482" s="170"/>
      <c r="B4482" s="170"/>
    </row>
    <row r="4483" spans="1:2" x14ac:dyDescent="0.25">
      <c r="A4483" s="170"/>
      <c r="B4483" s="170"/>
    </row>
    <row r="4484" spans="1:2" x14ac:dyDescent="0.25">
      <c r="A4484" s="170"/>
      <c r="B4484" s="170"/>
    </row>
    <row r="4485" spans="1:2" x14ac:dyDescent="0.25">
      <c r="A4485" s="170"/>
      <c r="B4485" s="170"/>
    </row>
    <row r="4486" spans="1:2" x14ac:dyDescent="0.25">
      <c r="A4486" s="170"/>
      <c r="B4486" s="170"/>
    </row>
    <row r="4487" spans="1:2" x14ac:dyDescent="0.25">
      <c r="A4487" s="170"/>
      <c r="B4487" s="170"/>
    </row>
    <row r="4488" spans="1:2" x14ac:dyDescent="0.25">
      <c r="A4488" s="170"/>
      <c r="B4488" s="170"/>
    </row>
    <row r="4489" spans="1:2" x14ac:dyDescent="0.25">
      <c r="A4489" s="170"/>
      <c r="B4489" s="170"/>
    </row>
    <row r="4490" spans="1:2" x14ac:dyDescent="0.25">
      <c r="A4490" s="170"/>
      <c r="B4490" s="170"/>
    </row>
    <row r="4491" spans="1:2" x14ac:dyDescent="0.25">
      <c r="A4491" s="170"/>
      <c r="B4491" s="170"/>
    </row>
    <row r="4492" spans="1:2" x14ac:dyDescent="0.25">
      <c r="A4492" s="170"/>
      <c r="B4492" s="170"/>
    </row>
    <row r="4493" spans="1:2" x14ac:dyDescent="0.25">
      <c r="A4493" s="170"/>
      <c r="B4493" s="170"/>
    </row>
    <row r="4494" spans="1:2" x14ac:dyDescent="0.25">
      <c r="A4494" s="170"/>
      <c r="B4494" s="170"/>
    </row>
    <row r="4495" spans="1:2" x14ac:dyDescent="0.25">
      <c r="A4495" s="170"/>
      <c r="B4495" s="170"/>
    </row>
    <row r="4496" spans="1:2" x14ac:dyDescent="0.25">
      <c r="A4496" s="170"/>
      <c r="B4496" s="170"/>
    </row>
    <row r="4497" spans="1:2" x14ac:dyDescent="0.25">
      <c r="A4497" s="170"/>
      <c r="B4497" s="170"/>
    </row>
    <row r="4498" spans="1:2" x14ac:dyDescent="0.25">
      <c r="A4498" s="170"/>
      <c r="B4498" s="170"/>
    </row>
    <row r="4499" spans="1:2" x14ac:dyDescent="0.25">
      <c r="A4499" s="170"/>
      <c r="B4499" s="170"/>
    </row>
    <row r="4500" spans="1:2" x14ac:dyDescent="0.25">
      <c r="A4500" s="170"/>
      <c r="B4500" s="170"/>
    </row>
    <row r="4501" spans="1:2" x14ac:dyDescent="0.25">
      <c r="A4501" s="170"/>
      <c r="B4501" s="170"/>
    </row>
    <row r="4502" spans="1:2" x14ac:dyDescent="0.25">
      <c r="A4502" s="170"/>
      <c r="B4502" s="170"/>
    </row>
    <row r="4503" spans="1:2" x14ac:dyDescent="0.25">
      <c r="A4503" s="170"/>
      <c r="B4503" s="170"/>
    </row>
    <row r="4504" spans="1:2" x14ac:dyDescent="0.25">
      <c r="A4504" s="170"/>
      <c r="B4504" s="170"/>
    </row>
    <row r="4505" spans="1:2" x14ac:dyDescent="0.25">
      <c r="A4505" s="170"/>
      <c r="B4505" s="170"/>
    </row>
    <row r="4506" spans="1:2" x14ac:dyDescent="0.25">
      <c r="A4506" s="170"/>
      <c r="B4506" s="170"/>
    </row>
    <row r="4507" spans="1:2" x14ac:dyDescent="0.25">
      <c r="A4507" s="170"/>
      <c r="B4507" s="170"/>
    </row>
    <row r="4508" spans="1:2" x14ac:dyDescent="0.25">
      <c r="A4508" s="170"/>
      <c r="B4508" s="170"/>
    </row>
    <row r="4509" spans="1:2" x14ac:dyDescent="0.25">
      <c r="A4509" s="170"/>
      <c r="B4509" s="170"/>
    </row>
    <row r="4510" spans="1:2" x14ac:dyDescent="0.25">
      <c r="A4510" s="170"/>
      <c r="B4510" s="170"/>
    </row>
    <row r="4511" spans="1:2" x14ac:dyDescent="0.25">
      <c r="A4511" s="170"/>
      <c r="B4511" s="170"/>
    </row>
    <row r="4512" spans="1:2" x14ac:dyDescent="0.25">
      <c r="A4512" s="170"/>
      <c r="B4512" s="170"/>
    </row>
    <row r="4513" spans="1:2" x14ac:dyDescent="0.25">
      <c r="A4513" s="170"/>
      <c r="B4513" s="170"/>
    </row>
    <row r="4514" spans="1:2" x14ac:dyDescent="0.25">
      <c r="A4514" s="170"/>
      <c r="B4514" s="170"/>
    </row>
    <row r="4515" spans="1:2" x14ac:dyDescent="0.25">
      <c r="A4515" s="170"/>
      <c r="B4515" s="170"/>
    </row>
    <row r="4516" spans="1:2" x14ac:dyDescent="0.25">
      <c r="A4516" s="170"/>
      <c r="B4516" s="170"/>
    </row>
    <row r="4517" spans="1:2" x14ac:dyDescent="0.25">
      <c r="A4517" s="170"/>
      <c r="B4517" s="170"/>
    </row>
    <row r="4518" spans="1:2" x14ac:dyDescent="0.25">
      <c r="A4518" s="170"/>
      <c r="B4518" s="170"/>
    </row>
    <row r="4519" spans="1:2" x14ac:dyDescent="0.25">
      <c r="A4519" s="170"/>
      <c r="B4519" s="170"/>
    </row>
    <row r="4520" spans="1:2" x14ac:dyDescent="0.25">
      <c r="A4520" s="170"/>
      <c r="B4520" s="170"/>
    </row>
    <row r="4521" spans="1:2" x14ac:dyDescent="0.25">
      <c r="A4521" s="170"/>
      <c r="B4521" s="170"/>
    </row>
    <row r="4522" spans="1:2" x14ac:dyDescent="0.25">
      <c r="A4522" s="170"/>
      <c r="B4522" s="170"/>
    </row>
    <row r="4523" spans="1:2" x14ac:dyDescent="0.25">
      <c r="A4523" s="170"/>
      <c r="B4523" s="170"/>
    </row>
    <row r="4524" spans="1:2" x14ac:dyDescent="0.25">
      <c r="A4524" s="170"/>
      <c r="B4524" s="170"/>
    </row>
    <row r="4525" spans="1:2" x14ac:dyDescent="0.25">
      <c r="A4525" s="170"/>
      <c r="B4525" s="170"/>
    </row>
    <row r="4526" spans="1:2" x14ac:dyDescent="0.25">
      <c r="A4526" s="170"/>
      <c r="B4526" s="170"/>
    </row>
    <row r="4527" spans="1:2" x14ac:dyDescent="0.25">
      <c r="A4527" s="170"/>
      <c r="B4527" s="170"/>
    </row>
    <row r="4528" spans="1:2" x14ac:dyDescent="0.25">
      <c r="A4528" s="170"/>
      <c r="B4528" s="170"/>
    </row>
    <row r="4529" spans="1:2" x14ac:dyDescent="0.25">
      <c r="A4529" s="170"/>
      <c r="B4529" s="170"/>
    </row>
    <row r="4530" spans="1:2" x14ac:dyDescent="0.25">
      <c r="A4530" s="170"/>
      <c r="B4530" s="170"/>
    </row>
    <row r="4531" spans="1:2" x14ac:dyDescent="0.25">
      <c r="A4531" s="170"/>
      <c r="B4531" s="170"/>
    </row>
    <row r="4532" spans="1:2" x14ac:dyDescent="0.25">
      <c r="A4532" s="170"/>
      <c r="B4532" s="170"/>
    </row>
    <row r="4533" spans="1:2" x14ac:dyDescent="0.25">
      <c r="A4533" s="170"/>
      <c r="B4533" s="170"/>
    </row>
    <row r="4534" spans="1:2" x14ac:dyDescent="0.25">
      <c r="A4534" s="170"/>
      <c r="B4534" s="170"/>
    </row>
    <row r="4535" spans="1:2" x14ac:dyDescent="0.25">
      <c r="A4535" s="170"/>
      <c r="B4535" s="170"/>
    </row>
    <row r="4536" spans="1:2" x14ac:dyDescent="0.25">
      <c r="A4536" s="170"/>
      <c r="B4536" s="170"/>
    </row>
    <row r="4537" spans="1:2" x14ac:dyDescent="0.25">
      <c r="A4537" s="170"/>
      <c r="B4537" s="170"/>
    </row>
    <row r="4538" spans="1:2" x14ac:dyDescent="0.25">
      <c r="A4538" s="170"/>
      <c r="B4538" s="170"/>
    </row>
    <row r="4539" spans="1:2" x14ac:dyDescent="0.25">
      <c r="A4539" s="170"/>
      <c r="B4539" s="170"/>
    </row>
    <row r="4540" spans="1:2" x14ac:dyDescent="0.25">
      <c r="A4540" s="170"/>
      <c r="B4540" s="170"/>
    </row>
    <row r="4541" spans="1:2" x14ac:dyDescent="0.25">
      <c r="A4541" s="170"/>
      <c r="B4541" s="170"/>
    </row>
    <row r="4542" spans="1:2" x14ac:dyDescent="0.25">
      <c r="A4542" s="170"/>
      <c r="B4542" s="170"/>
    </row>
    <row r="4543" spans="1:2" x14ac:dyDescent="0.25">
      <c r="A4543" s="170"/>
      <c r="B4543" s="170"/>
    </row>
    <row r="4544" spans="1:2" x14ac:dyDescent="0.25">
      <c r="A4544" s="170"/>
      <c r="B4544" s="170"/>
    </row>
    <row r="4545" spans="1:2" x14ac:dyDescent="0.25">
      <c r="A4545" s="170"/>
      <c r="B4545" s="170"/>
    </row>
    <row r="4546" spans="1:2" x14ac:dyDescent="0.25">
      <c r="A4546" s="170"/>
      <c r="B4546" s="170"/>
    </row>
    <row r="4547" spans="1:2" x14ac:dyDescent="0.25">
      <c r="A4547" s="170"/>
      <c r="B4547" s="170"/>
    </row>
    <row r="4548" spans="1:2" x14ac:dyDescent="0.25">
      <c r="A4548" s="170"/>
      <c r="B4548" s="170"/>
    </row>
    <row r="4549" spans="1:2" x14ac:dyDescent="0.25">
      <c r="A4549" s="170"/>
      <c r="B4549" s="170"/>
    </row>
    <row r="4550" spans="1:2" x14ac:dyDescent="0.25">
      <c r="A4550" s="170"/>
      <c r="B4550" s="170"/>
    </row>
    <row r="4551" spans="1:2" x14ac:dyDescent="0.25">
      <c r="A4551" s="170"/>
      <c r="B4551" s="170"/>
    </row>
    <row r="4552" spans="1:2" x14ac:dyDescent="0.25">
      <c r="A4552" s="170"/>
      <c r="B4552" s="170"/>
    </row>
    <row r="4553" spans="1:2" x14ac:dyDescent="0.25">
      <c r="A4553" s="170"/>
      <c r="B4553" s="170"/>
    </row>
    <row r="4554" spans="1:2" x14ac:dyDescent="0.25">
      <c r="A4554" s="170"/>
      <c r="B4554" s="170"/>
    </row>
    <row r="4555" spans="1:2" x14ac:dyDescent="0.25">
      <c r="A4555" s="170"/>
      <c r="B4555" s="170"/>
    </row>
    <row r="4556" spans="1:2" x14ac:dyDescent="0.25">
      <c r="A4556" s="170"/>
      <c r="B4556" s="170"/>
    </row>
    <row r="4557" spans="1:2" x14ac:dyDescent="0.25">
      <c r="A4557" s="170"/>
      <c r="B4557" s="170"/>
    </row>
    <row r="4558" spans="1:2" x14ac:dyDescent="0.25">
      <c r="A4558" s="170"/>
      <c r="B4558" s="170"/>
    </row>
    <row r="4559" spans="1:2" x14ac:dyDescent="0.25">
      <c r="A4559" s="170"/>
      <c r="B4559" s="170"/>
    </row>
    <row r="4560" spans="1:2" x14ac:dyDescent="0.25">
      <c r="A4560" s="170"/>
      <c r="B4560" s="170"/>
    </row>
    <row r="4561" spans="1:2" x14ac:dyDescent="0.25">
      <c r="A4561" s="170"/>
      <c r="B4561" s="170"/>
    </row>
    <row r="4562" spans="1:2" x14ac:dyDescent="0.25">
      <c r="A4562" s="170"/>
      <c r="B4562" s="170"/>
    </row>
    <row r="4563" spans="1:2" x14ac:dyDescent="0.25">
      <c r="A4563" s="170"/>
      <c r="B4563" s="170"/>
    </row>
    <row r="4564" spans="1:2" x14ac:dyDescent="0.25">
      <c r="A4564" s="170"/>
      <c r="B4564" s="170"/>
    </row>
    <row r="4565" spans="1:2" x14ac:dyDescent="0.25">
      <c r="A4565" s="170"/>
      <c r="B4565" s="170"/>
    </row>
    <row r="4566" spans="1:2" x14ac:dyDescent="0.25">
      <c r="A4566" s="170"/>
      <c r="B4566" s="170"/>
    </row>
    <row r="4567" spans="1:2" x14ac:dyDescent="0.25">
      <c r="A4567" s="170"/>
      <c r="B4567" s="170"/>
    </row>
    <row r="4568" spans="1:2" x14ac:dyDescent="0.25">
      <c r="A4568" s="170"/>
      <c r="B4568" s="170"/>
    </row>
    <row r="4569" spans="1:2" x14ac:dyDescent="0.25">
      <c r="A4569" s="170"/>
      <c r="B4569" s="170"/>
    </row>
    <row r="4570" spans="1:2" x14ac:dyDescent="0.25">
      <c r="A4570" s="170"/>
      <c r="B4570" s="170"/>
    </row>
    <row r="4571" spans="1:2" x14ac:dyDescent="0.25">
      <c r="A4571" s="170"/>
      <c r="B4571" s="170"/>
    </row>
    <row r="4572" spans="1:2" x14ac:dyDescent="0.25">
      <c r="A4572" s="170"/>
      <c r="B4572" s="170"/>
    </row>
    <row r="4573" spans="1:2" x14ac:dyDescent="0.25">
      <c r="A4573" s="170"/>
      <c r="B4573" s="170"/>
    </row>
    <row r="4574" spans="1:2" x14ac:dyDescent="0.25">
      <c r="A4574" s="170"/>
      <c r="B4574" s="170"/>
    </row>
    <row r="4575" spans="1:2" x14ac:dyDescent="0.25">
      <c r="A4575" s="170"/>
      <c r="B4575" s="170"/>
    </row>
    <row r="4576" spans="1:2" x14ac:dyDescent="0.25">
      <c r="A4576" s="170"/>
      <c r="B4576" s="170"/>
    </row>
    <row r="4577" spans="1:2" x14ac:dyDescent="0.25">
      <c r="A4577" s="170"/>
      <c r="B4577" s="170"/>
    </row>
    <row r="4578" spans="1:2" x14ac:dyDescent="0.25">
      <c r="A4578" s="170"/>
      <c r="B4578" s="170"/>
    </row>
    <row r="4579" spans="1:2" x14ac:dyDescent="0.25">
      <c r="A4579" s="170"/>
      <c r="B4579" s="170"/>
    </row>
    <row r="4580" spans="1:2" x14ac:dyDescent="0.25">
      <c r="A4580" s="170"/>
      <c r="B4580" s="170"/>
    </row>
    <row r="4581" spans="1:2" x14ac:dyDescent="0.25">
      <c r="A4581" s="170"/>
      <c r="B4581" s="170"/>
    </row>
    <row r="4582" spans="1:2" x14ac:dyDescent="0.25">
      <c r="A4582" s="170"/>
      <c r="B4582" s="170"/>
    </row>
    <row r="4583" spans="1:2" x14ac:dyDescent="0.25">
      <c r="A4583" s="170"/>
      <c r="B4583" s="170"/>
    </row>
    <row r="4584" spans="1:2" x14ac:dyDescent="0.25">
      <c r="A4584" s="170"/>
      <c r="B4584" s="170"/>
    </row>
    <row r="4585" spans="1:2" x14ac:dyDescent="0.25">
      <c r="A4585" s="170"/>
      <c r="B4585" s="170"/>
    </row>
    <row r="4586" spans="1:2" x14ac:dyDescent="0.25">
      <c r="A4586" s="170"/>
      <c r="B4586" s="170"/>
    </row>
    <row r="4587" spans="1:2" x14ac:dyDescent="0.25">
      <c r="A4587" s="170"/>
      <c r="B4587" s="170"/>
    </row>
    <row r="4588" spans="1:2" x14ac:dyDescent="0.25">
      <c r="A4588" s="170"/>
      <c r="B4588" s="170"/>
    </row>
    <row r="4589" spans="1:2" x14ac:dyDescent="0.25">
      <c r="A4589" s="170"/>
      <c r="B4589" s="170"/>
    </row>
    <row r="4590" spans="1:2" x14ac:dyDescent="0.25">
      <c r="A4590" s="170"/>
      <c r="B4590" s="170"/>
    </row>
    <row r="4591" spans="1:2" x14ac:dyDescent="0.25">
      <c r="A4591" s="170"/>
      <c r="B4591" s="170"/>
    </row>
    <row r="4592" spans="1:2" x14ac:dyDescent="0.25">
      <c r="A4592" s="170"/>
      <c r="B4592" s="170"/>
    </row>
    <row r="4593" spans="1:2" x14ac:dyDescent="0.25">
      <c r="A4593" s="170"/>
      <c r="B4593" s="170"/>
    </row>
    <row r="4594" spans="1:2" x14ac:dyDescent="0.25">
      <c r="A4594" s="170"/>
      <c r="B4594" s="170"/>
    </row>
    <row r="4595" spans="1:2" x14ac:dyDescent="0.25">
      <c r="A4595" s="170"/>
      <c r="B4595" s="170"/>
    </row>
    <row r="4596" spans="1:2" x14ac:dyDescent="0.25">
      <c r="A4596" s="170"/>
      <c r="B4596" s="170"/>
    </row>
    <row r="4597" spans="1:2" x14ac:dyDescent="0.25">
      <c r="A4597" s="170"/>
      <c r="B4597" s="170"/>
    </row>
    <row r="4598" spans="1:2" x14ac:dyDescent="0.25">
      <c r="A4598" s="170"/>
      <c r="B4598" s="170"/>
    </row>
    <row r="4599" spans="1:2" x14ac:dyDescent="0.25">
      <c r="A4599" s="170"/>
      <c r="B4599" s="170"/>
    </row>
    <row r="4600" spans="1:2" x14ac:dyDescent="0.25">
      <c r="A4600" s="170"/>
      <c r="B4600" s="170"/>
    </row>
    <row r="4601" spans="1:2" x14ac:dyDescent="0.25">
      <c r="A4601" s="170"/>
      <c r="B4601" s="170"/>
    </row>
    <row r="4602" spans="1:2" x14ac:dyDescent="0.25">
      <c r="A4602" s="170"/>
      <c r="B4602" s="170"/>
    </row>
    <row r="4603" spans="1:2" x14ac:dyDescent="0.25">
      <c r="A4603" s="170"/>
      <c r="B4603" s="170"/>
    </row>
    <row r="4604" spans="1:2" x14ac:dyDescent="0.25">
      <c r="A4604" s="170"/>
      <c r="B4604" s="170"/>
    </row>
    <row r="4605" spans="1:2" x14ac:dyDescent="0.25">
      <c r="A4605" s="170"/>
      <c r="B4605" s="170"/>
    </row>
    <row r="4606" spans="1:2" x14ac:dyDescent="0.25">
      <c r="A4606" s="170"/>
      <c r="B4606" s="170"/>
    </row>
    <row r="4607" spans="1:2" x14ac:dyDescent="0.25">
      <c r="A4607" s="170"/>
      <c r="B4607" s="170"/>
    </row>
    <row r="4608" spans="1:2" x14ac:dyDescent="0.25">
      <c r="A4608" s="170"/>
      <c r="B4608" s="170"/>
    </row>
    <row r="4609" spans="1:2" x14ac:dyDescent="0.25">
      <c r="A4609" s="170"/>
      <c r="B4609" s="170"/>
    </row>
    <row r="4610" spans="1:2" x14ac:dyDescent="0.25">
      <c r="A4610" s="170"/>
      <c r="B4610" s="170"/>
    </row>
    <row r="4611" spans="1:2" x14ac:dyDescent="0.25">
      <c r="A4611" s="170"/>
      <c r="B4611" s="170"/>
    </row>
    <row r="4612" spans="1:2" x14ac:dyDescent="0.25">
      <c r="A4612" s="170"/>
      <c r="B4612" s="170"/>
    </row>
    <row r="4613" spans="1:2" x14ac:dyDescent="0.25">
      <c r="A4613" s="170"/>
      <c r="B4613" s="170"/>
    </row>
    <row r="4614" spans="1:2" x14ac:dyDescent="0.25">
      <c r="A4614" s="170"/>
      <c r="B4614" s="170"/>
    </row>
    <row r="4615" spans="1:2" x14ac:dyDescent="0.25">
      <c r="A4615" s="170"/>
      <c r="B4615" s="170"/>
    </row>
    <row r="4616" spans="1:2" x14ac:dyDescent="0.25">
      <c r="A4616" s="170"/>
      <c r="B4616" s="170"/>
    </row>
    <row r="4617" spans="1:2" x14ac:dyDescent="0.25">
      <c r="A4617" s="170"/>
      <c r="B4617" s="170"/>
    </row>
    <row r="4618" spans="1:2" x14ac:dyDescent="0.25">
      <c r="A4618" s="170"/>
      <c r="B4618" s="170"/>
    </row>
    <row r="4619" spans="1:2" x14ac:dyDescent="0.25">
      <c r="A4619" s="170"/>
      <c r="B4619" s="170"/>
    </row>
    <row r="4620" spans="1:2" x14ac:dyDescent="0.25">
      <c r="A4620" s="170"/>
      <c r="B4620" s="170"/>
    </row>
    <row r="4621" spans="1:2" x14ac:dyDescent="0.25">
      <c r="A4621" s="170"/>
      <c r="B4621" s="170"/>
    </row>
    <row r="4622" spans="1:2" x14ac:dyDescent="0.25">
      <c r="A4622" s="170"/>
      <c r="B4622" s="170"/>
    </row>
    <row r="4623" spans="1:2" x14ac:dyDescent="0.25">
      <c r="A4623" s="170"/>
      <c r="B4623" s="170"/>
    </row>
    <row r="4624" spans="1:2" x14ac:dyDescent="0.25">
      <c r="A4624" s="170"/>
      <c r="B4624" s="170"/>
    </row>
    <row r="4625" spans="1:2" x14ac:dyDescent="0.25">
      <c r="A4625" s="170"/>
      <c r="B4625" s="170"/>
    </row>
    <row r="4626" spans="1:2" x14ac:dyDescent="0.25">
      <c r="A4626" s="170"/>
      <c r="B4626" s="170"/>
    </row>
    <row r="4627" spans="1:2" x14ac:dyDescent="0.25">
      <c r="A4627" s="170"/>
      <c r="B4627" s="170"/>
    </row>
    <row r="4628" spans="1:2" x14ac:dyDescent="0.25">
      <c r="A4628" s="170"/>
      <c r="B4628" s="170"/>
    </row>
    <row r="4629" spans="1:2" x14ac:dyDescent="0.25">
      <c r="A4629" s="170"/>
      <c r="B4629" s="170"/>
    </row>
    <row r="4630" spans="1:2" x14ac:dyDescent="0.25">
      <c r="A4630" s="170"/>
      <c r="B4630" s="170"/>
    </row>
    <row r="4631" spans="1:2" x14ac:dyDescent="0.25">
      <c r="A4631" s="170"/>
      <c r="B4631" s="170"/>
    </row>
    <row r="4632" spans="1:2" x14ac:dyDescent="0.25">
      <c r="A4632" s="170"/>
      <c r="B4632" s="170"/>
    </row>
    <row r="4633" spans="1:2" x14ac:dyDescent="0.25">
      <c r="A4633" s="170"/>
      <c r="B4633" s="170"/>
    </row>
    <row r="4634" spans="1:2" x14ac:dyDescent="0.25">
      <c r="A4634" s="170"/>
      <c r="B4634" s="170"/>
    </row>
    <row r="4635" spans="1:2" x14ac:dyDescent="0.25">
      <c r="A4635" s="170"/>
      <c r="B4635" s="170"/>
    </row>
    <row r="4636" spans="1:2" x14ac:dyDescent="0.25">
      <c r="A4636" s="170"/>
      <c r="B4636" s="170"/>
    </row>
    <row r="4637" spans="1:2" x14ac:dyDescent="0.25">
      <c r="A4637" s="170"/>
      <c r="B4637" s="170"/>
    </row>
    <row r="4638" spans="1:2" x14ac:dyDescent="0.25">
      <c r="A4638" s="170"/>
      <c r="B4638" s="170"/>
    </row>
    <row r="4639" spans="1:2" x14ac:dyDescent="0.25">
      <c r="A4639" s="170"/>
      <c r="B4639" s="170"/>
    </row>
    <row r="4640" spans="1:2" x14ac:dyDescent="0.25">
      <c r="A4640" s="170"/>
      <c r="B4640" s="170"/>
    </row>
    <row r="4641" spans="1:2" x14ac:dyDescent="0.25">
      <c r="A4641" s="170"/>
      <c r="B4641" s="170"/>
    </row>
    <row r="4642" spans="1:2" x14ac:dyDescent="0.25">
      <c r="A4642" s="170"/>
      <c r="B4642" s="170"/>
    </row>
    <row r="4643" spans="1:2" x14ac:dyDescent="0.25">
      <c r="A4643" s="170"/>
      <c r="B4643" s="170"/>
    </row>
    <row r="4644" spans="1:2" x14ac:dyDescent="0.25">
      <c r="A4644" s="170"/>
      <c r="B4644" s="170"/>
    </row>
    <row r="4645" spans="1:2" x14ac:dyDescent="0.25">
      <c r="A4645" s="170"/>
      <c r="B4645" s="170"/>
    </row>
    <row r="4646" spans="1:2" x14ac:dyDescent="0.25">
      <c r="A4646" s="170"/>
      <c r="B4646" s="170"/>
    </row>
    <row r="4647" spans="1:2" x14ac:dyDescent="0.25">
      <c r="A4647" s="170"/>
      <c r="B4647" s="170"/>
    </row>
    <row r="4648" spans="1:2" x14ac:dyDescent="0.25">
      <c r="A4648" s="170"/>
      <c r="B4648" s="170"/>
    </row>
    <row r="4649" spans="1:2" x14ac:dyDescent="0.25">
      <c r="A4649" s="170"/>
      <c r="B4649" s="170"/>
    </row>
    <row r="4650" spans="1:2" x14ac:dyDescent="0.25">
      <c r="A4650" s="170"/>
      <c r="B4650" s="170"/>
    </row>
    <row r="4651" spans="1:2" x14ac:dyDescent="0.25">
      <c r="A4651" s="170"/>
      <c r="B4651" s="170"/>
    </row>
    <row r="4652" spans="1:2" x14ac:dyDescent="0.25">
      <c r="A4652" s="170"/>
      <c r="B4652" s="170"/>
    </row>
    <row r="4653" spans="1:2" x14ac:dyDescent="0.25">
      <c r="A4653" s="170"/>
      <c r="B4653" s="170"/>
    </row>
    <row r="4654" spans="1:2" x14ac:dyDescent="0.25">
      <c r="A4654" s="170"/>
      <c r="B4654" s="170"/>
    </row>
    <row r="4655" spans="1:2" x14ac:dyDescent="0.25">
      <c r="A4655" s="170"/>
      <c r="B4655" s="170"/>
    </row>
    <row r="4656" spans="1:2" x14ac:dyDescent="0.25">
      <c r="A4656" s="170"/>
      <c r="B4656" s="170"/>
    </row>
    <row r="4657" spans="1:2" x14ac:dyDescent="0.25">
      <c r="A4657" s="170"/>
      <c r="B4657" s="170"/>
    </row>
    <row r="4658" spans="1:2" x14ac:dyDescent="0.25">
      <c r="A4658" s="170"/>
      <c r="B4658" s="170"/>
    </row>
    <row r="4659" spans="1:2" x14ac:dyDescent="0.25">
      <c r="A4659" s="170"/>
      <c r="B4659" s="170"/>
    </row>
    <row r="4660" spans="1:2" x14ac:dyDescent="0.25">
      <c r="A4660" s="170"/>
      <c r="B4660" s="170"/>
    </row>
    <row r="4661" spans="1:2" x14ac:dyDescent="0.25">
      <c r="A4661" s="170"/>
      <c r="B4661" s="170"/>
    </row>
    <row r="4662" spans="1:2" x14ac:dyDescent="0.25">
      <c r="A4662" s="170"/>
      <c r="B4662" s="170"/>
    </row>
    <row r="4663" spans="1:2" x14ac:dyDescent="0.25">
      <c r="A4663" s="170"/>
      <c r="B4663" s="170"/>
    </row>
    <row r="4664" spans="1:2" x14ac:dyDescent="0.25">
      <c r="A4664" s="170"/>
      <c r="B4664" s="170"/>
    </row>
    <row r="4665" spans="1:2" x14ac:dyDescent="0.25">
      <c r="A4665" s="170"/>
      <c r="B4665" s="170"/>
    </row>
    <row r="4666" spans="1:2" x14ac:dyDescent="0.25">
      <c r="A4666" s="170"/>
      <c r="B4666" s="170"/>
    </row>
    <row r="4667" spans="1:2" x14ac:dyDescent="0.25">
      <c r="A4667" s="170"/>
      <c r="B4667" s="170"/>
    </row>
    <row r="4668" spans="1:2" x14ac:dyDescent="0.25">
      <c r="A4668" s="170"/>
      <c r="B4668" s="170"/>
    </row>
    <row r="4669" spans="1:2" x14ac:dyDescent="0.25">
      <c r="A4669" s="170"/>
      <c r="B4669" s="170"/>
    </row>
    <row r="4670" spans="1:2" x14ac:dyDescent="0.25">
      <c r="A4670" s="170"/>
      <c r="B4670" s="170"/>
    </row>
    <row r="4671" spans="1:2" x14ac:dyDescent="0.25">
      <c r="A4671" s="170"/>
      <c r="B4671" s="170"/>
    </row>
    <row r="4672" spans="1:2" x14ac:dyDescent="0.25">
      <c r="A4672" s="170"/>
      <c r="B4672" s="170"/>
    </row>
    <row r="4673" spans="1:2" x14ac:dyDescent="0.25">
      <c r="A4673" s="170"/>
      <c r="B4673" s="170"/>
    </row>
    <row r="4674" spans="1:2" x14ac:dyDescent="0.25">
      <c r="A4674" s="170"/>
      <c r="B4674" s="170"/>
    </row>
    <row r="4675" spans="1:2" x14ac:dyDescent="0.25">
      <c r="A4675" s="170"/>
      <c r="B4675" s="170"/>
    </row>
    <row r="4676" spans="1:2" x14ac:dyDescent="0.25">
      <c r="A4676" s="170"/>
      <c r="B4676" s="170"/>
    </row>
    <row r="4677" spans="1:2" x14ac:dyDescent="0.25">
      <c r="A4677" s="170"/>
      <c r="B4677" s="170"/>
    </row>
    <row r="4678" spans="1:2" x14ac:dyDescent="0.25">
      <c r="A4678" s="170"/>
      <c r="B4678" s="170"/>
    </row>
    <row r="4679" spans="1:2" x14ac:dyDescent="0.25">
      <c r="A4679" s="170"/>
      <c r="B4679" s="170"/>
    </row>
    <row r="4680" spans="1:2" x14ac:dyDescent="0.25">
      <c r="A4680" s="170"/>
      <c r="B4680" s="170"/>
    </row>
    <row r="4681" spans="1:2" x14ac:dyDescent="0.25">
      <c r="A4681" s="170"/>
      <c r="B4681" s="170"/>
    </row>
    <row r="4682" spans="1:2" x14ac:dyDescent="0.25">
      <c r="A4682" s="170"/>
      <c r="B4682" s="170"/>
    </row>
    <row r="4683" spans="1:2" x14ac:dyDescent="0.25">
      <c r="A4683" s="170"/>
      <c r="B4683" s="170"/>
    </row>
    <row r="4684" spans="1:2" x14ac:dyDescent="0.25">
      <c r="A4684" s="170"/>
      <c r="B4684" s="170"/>
    </row>
    <row r="4685" spans="1:2" x14ac:dyDescent="0.25">
      <c r="A4685" s="170"/>
      <c r="B4685" s="170"/>
    </row>
    <row r="4686" spans="1:2" x14ac:dyDescent="0.25">
      <c r="A4686" s="170"/>
      <c r="B4686" s="170"/>
    </row>
    <row r="4687" spans="1:2" x14ac:dyDescent="0.25">
      <c r="A4687" s="170"/>
      <c r="B4687" s="170"/>
    </row>
    <row r="4688" spans="1:2" x14ac:dyDescent="0.25">
      <c r="A4688" s="170"/>
      <c r="B4688" s="170"/>
    </row>
    <row r="4689" spans="1:2" x14ac:dyDescent="0.25">
      <c r="A4689" s="170"/>
      <c r="B4689" s="170"/>
    </row>
    <row r="4690" spans="1:2" x14ac:dyDescent="0.25">
      <c r="A4690" s="170"/>
      <c r="B4690" s="170"/>
    </row>
    <row r="4691" spans="1:2" x14ac:dyDescent="0.25">
      <c r="A4691" s="170"/>
      <c r="B4691" s="170"/>
    </row>
    <row r="4692" spans="1:2" x14ac:dyDescent="0.25">
      <c r="A4692" s="170"/>
      <c r="B4692" s="170"/>
    </row>
    <row r="4693" spans="1:2" x14ac:dyDescent="0.25">
      <c r="A4693" s="170"/>
      <c r="B4693" s="170"/>
    </row>
    <row r="4694" spans="1:2" x14ac:dyDescent="0.25">
      <c r="A4694" s="170"/>
      <c r="B4694" s="170"/>
    </row>
    <row r="4695" spans="1:2" x14ac:dyDescent="0.25">
      <c r="A4695" s="170"/>
      <c r="B4695" s="170"/>
    </row>
    <row r="4696" spans="1:2" x14ac:dyDescent="0.25">
      <c r="A4696" s="170"/>
      <c r="B4696" s="170"/>
    </row>
    <row r="4697" spans="1:2" x14ac:dyDescent="0.25">
      <c r="A4697" s="170"/>
      <c r="B4697" s="170"/>
    </row>
    <row r="4698" spans="1:2" x14ac:dyDescent="0.25">
      <c r="A4698" s="170"/>
      <c r="B4698" s="170"/>
    </row>
    <row r="4699" spans="1:2" x14ac:dyDescent="0.25">
      <c r="A4699" s="170"/>
      <c r="B4699" s="170"/>
    </row>
    <row r="4700" spans="1:2" x14ac:dyDescent="0.25">
      <c r="A4700" s="170"/>
      <c r="B4700" s="170"/>
    </row>
    <row r="4701" spans="1:2" x14ac:dyDescent="0.25">
      <c r="A4701" s="170"/>
      <c r="B4701" s="170"/>
    </row>
    <row r="4702" spans="1:2" x14ac:dyDescent="0.25">
      <c r="A4702" s="170"/>
      <c r="B4702" s="170"/>
    </row>
    <row r="4703" spans="1:2" x14ac:dyDescent="0.25">
      <c r="A4703" s="170"/>
      <c r="B4703" s="170"/>
    </row>
    <row r="4704" spans="1:2" x14ac:dyDescent="0.25">
      <c r="A4704" s="170"/>
      <c r="B4704" s="170"/>
    </row>
    <row r="4705" spans="1:2" x14ac:dyDescent="0.25">
      <c r="A4705" s="170"/>
      <c r="B4705" s="170"/>
    </row>
    <row r="4706" spans="1:2" x14ac:dyDescent="0.25">
      <c r="A4706" s="170"/>
      <c r="B4706" s="170"/>
    </row>
    <row r="4707" spans="1:2" x14ac:dyDescent="0.25">
      <c r="A4707" s="170"/>
      <c r="B4707" s="170"/>
    </row>
    <row r="4708" spans="1:2" x14ac:dyDescent="0.25">
      <c r="A4708" s="170"/>
      <c r="B4708" s="170"/>
    </row>
    <row r="4709" spans="1:2" x14ac:dyDescent="0.25">
      <c r="A4709" s="170"/>
      <c r="B4709" s="170"/>
    </row>
    <row r="4710" spans="1:2" x14ac:dyDescent="0.25">
      <c r="A4710" s="170"/>
      <c r="B4710" s="170"/>
    </row>
    <row r="4711" spans="1:2" x14ac:dyDescent="0.25">
      <c r="A4711" s="170"/>
      <c r="B4711" s="170"/>
    </row>
    <row r="4712" spans="1:2" x14ac:dyDescent="0.25">
      <c r="A4712" s="170"/>
      <c r="B4712" s="170"/>
    </row>
    <row r="4713" spans="1:2" x14ac:dyDescent="0.25">
      <c r="A4713" s="170"/>
      <c r="B4713" s="170"/>
    </row>
    <row r="4714" spans="1:2" x14ac:dyDescent="0.25">
      <c r="A4714" s="170"/>
      <c r="B4714" s="170"/>
    </row>
    <row r="4715" spans="1:2" x14ac:dyDescent="0.25">
      <c r="A4715" s="170"/>
      <c r="B4715" s="170"/>
    </row>
    <row r="4716" spans="1:2" x14ac:dyDescent="0.25">
      <c r="A4716" s="170"/>
      <c r="B4716" s="170"/>
    </row>
    <row r="4717" spans="1:2" x14ac:dyDescent="0.25">
      <c r="A4717" s="170"/>
      <c r="B4717" s="170"/>
    </row>
    <row r="4718" spans="1:2" x14ac:dyDescent="0.25">
      <c r="A4718" s="170"/>
      <c r="B4718" s="170"/>
    </row>
    <row r="4719" spans="1:2" x14ac:dyDescent="0.25">
      <c r="A4719" s="170"/>
      <c r="B4719" s="170"/>
    </row>
    <row r="4720" spans="1:2" x14ac:dyDescent="0.25">
      <c r="A4720" s="170"/>
      <c r="B4720" s="170"/>
    </row>
    <row r="4721" spans="1:2" x14ac:dyDescent="0.25">
      <c r="A4721" s="170"/>
      <c r="B4721" s="170"/>
    </row>
    <row r="4722" spans="1:2" x14ac:dyDescent="0.25">
      <c r="A4722" s="170"/>
      <c r="B4722" s="170"/>
    </row>
    <row r="4723" spans="1:2" x14ac:dyDescent="0.25">
      <c r="A4723" s="170"/>
      <c r="B4723" s="170"/>
    </row>
    <row r="4724" spans="1:2" x14ac:dyDescent="0.25">
      <c r="A4724" s="170"/>
      <c r="B4724" s="170"/>
    </row>
    <row r="4725" spans="1:2" x14ac:dyDescent="0.25">
      <c r="A4725" s="170"/>
      <c r="B4725" s="170"/>
    </row>
    <row r="4726" spans="1:2" x14ac:dyDescent="0.25">
      <c r="A4726" s="170"/>
      <c r="B4726" s="170"/>
    </row>
    <row r="4727" spans="1:2" x14ac:dyDescent="0.25">
      <c r="A4727" s="170"/>
      <c r="B4727" s="170"/>
    </row>
    <row r="4728" spans="1:2" x14ac:dyDescent="0.25">
      <c r="A4728" s="170"/>
      <c r="B4728" s="170"/>
    </row>
    <row r="4729" spans="1:2" x14ac:dyDescent="0.25">
      <c r="A4729" s="170"/>
      <c r="B4729" s="170"/>
    </row>
    <row r="4730" spans="1:2" x14ac:dyDescent="0.25">
      <c r="A4730" s="170"/>
      <c r="B4730" s="170"/>
    </row>
    <row r="4731" spans="1:2" x14ac:dyDescent="0.25">
      <c r="A4731" s="170"/>
      <c r="B4731" s="170"/>
    </row>
    <row r="4732" spans="1:2" x14ac:dyDescent="0.25">
      <c r="A4732" s="170"/>
      <c r="B4732" s="170"/>
    </row>
    <row r="4733" spans="1:2" x14ac:dyDescent="0.25">
      <c r="A4733" s="170"/>
      <c r="B4733" s="170"/>
    </row>
    <row r="4734" spans="1:2" x14ac:dyDescent="0.25">
      <c r="A4734" s="170"/>
      <c r="B4734" s="170"/>
    </row>
    <row r="4735" spans="1:2" x14ac:dyDescent="0.25">
      <c r="A4735" s="170"/>
      <c r="B4735" s="170"/>
    </row>
    <row r="4736" spans="1:2" x14ac:dyDescent="0.25">
      <c r="A4736" s="170"/>
      <c r="B4736" s="170"/>
    </row>
    <row r="4737" spans="1:2" x14ac:dyDescent="0.25">
      <c r="A4737" s="170"/>
      <c r="B4737" s="170"/>
    </row>
    <row r="4738" spans="1:2" x14ac:dyDescent="0.25">
      <c r="A4738" s="170"/>
      <c r="B4738" s="170"/>
    </row>
    <row r="4739" spans="1:2" x14ac:dyDescent="0.25">
      <c r="A4739" s="170"/>
      <c r="B4739" s="170"/>
    </row>
    <row r="4740" spans="1:2" x14ac:dyDescent="0.25">
      <c r="A4740" s="170"/>
      <c r="B4740" s="170"/>
    </row>
    <row r="4741" spans="1:2" x14ac:dyDescent="0.25">
      <c r="A4741" s="170"/>
      <c r="B4741" s="170"/>
    </row>
    <row r="4742" spans="1:2" x14ac:dyDescent="0.25">
      <c r="A4742" s="170"/>
      <c r="B4742" s="170"/>
    </row>
    <row r="4743" spans="1:2" x14ac:dyDescent="0.25">
      <c r="A4743" s="170"/>
      <c r="B4743" s="170"/>
    </row>
    <row r="4744" spans="1:2" x14ac:dyDescent="0.25">
      <c r="A4744" s="170"/>
      <c r="B4744" s="170"/>
    </row>
    <row r="4745" spans="1:2" x14ac:dyDescent="0.25">
      <c r="A4745" s="170"/>
      <c r="B4745" s="170"/>
    </row>
    <row r="4746" spans="1:2" x14ac:dyDescent="0.25">
      <c r="A4746" s="170"/>
      <c r="B4746" s="170"/>
    </row>
    <row r="4747" spans="1:2" x14ac:dyDescent="0.25">
      <c r="A4747" s="170"/>
      <c r="B4747" s="170"/>
    </row>
    <row r="4748" spans="1:2" x14ac:dyDescent="0.25">
      <c r="A4748" s="170"/>
      <c r="B4748" s="170"/>
    </row>
    <row r="4749" spans="1:2" x14ac:dyDescent="0.25">
      <c r="A4749" s="170"/>
      <c r="B4749" s="170"/>
    </row>
    <row r="4750" spans="1:2" x14ac:dyDescent="0.25">
      <c r="A4750" s="170"/>
      <c r="B4750" s="170"/>
    </row>
    <row r="4751" spans="1:2" x14ac:dyDescent="0.25">
      <c r="A4751" s="170"/>
      <c r="B4751" s="170"/>
    </row>
    <row r="4752" spans="1:2" x14ac:dyDescent="0.25">
      <c r="A4752" s="170"/>
      <c r="B4752" s="170"/>
    </row>
    <row r="4753" spans="1:2" x14ac:dyDescent="0.25">
      <c r="A4753" s="170"/>
      <c r="B4753" s="170"/>
    </row>
    <row r="4754" spans="1:2" x14ac:dyDescent="0.25">
      <c r="A4754" s="170"/>
      <c r="B4754" s="170"/>
    </row>
    <row r="4755" spans="1:2" x14ac:dyDescent="0.25">
      <c r="A4755" s="170"/>
      <c r="B4755" s="170"/>
    </row>
    <row r="4756" spans="1:2" x14ac:dyDescent="0.25">
      <c r="A4756" s="170"/>
      <c r="B4756" s="170"/>
    </row>
    <row r="4757" spans="1:2" x14ac:dyDescent="0.25">
      <c r="A4757" s="170"/>
      <c r="B4757" s="170"/>
    </row>
    <row r="4758" spans="1:2" x14ac:dyDescent="0.25">
      <c r="A4758" s="170"/>
      <c r="B4758" s="170"/>
    </row>
    <row r="4759" spans="1:2" x14ac:dyDescent="0.25">
      <c r="A4759" s="170"/>
      <c r="B4759" s="170"/>
    </row>
    <row r="4760" spans="1:2" x14ac:dyDescent="0.25">
      <c r="A4760" s="170"/>
      <c r="B4760" s="170"/>
    </row>
    <row r="4761" spans="1:2" x14ac:dyDescent="0.25">
      <c r="A4761" s="170"/>
      <c r="B4761" s="170"/>
    </row>
    <row r="4762" spans="1:2" x14ac:dyDescent="0.25">
      <c r="A4762" s="170"/>
      <c r="B4762" s="170"/>
    </row>
    <row r="4763" spans="1:2" x14ac:dyDescent="0.25">
      <c r="A4763" s="170"/>
      <c r="B4763" s="170"/>
    </row>
    <row r="4764" spans="1:2" x14ac:dyDescent="0.25">
      <c r="A4764" s="170"/>
      <c r="B4764" s="170"/>
    </row>
    <row r="4765" spans="1:2" x14ac:dyDescent="0.25">
      <c r="A4765" s="170"/>
      <c r="B4765" s="170"/>
    </row>
    <row r="4766" spans="1:2" x14ac:dyDescent="0.25">
      <c r="A4766" s="170"/>
      <c r="B4766" s="170"/>
    </row>
    <row r="4767" spans="1:2" x14ac:dyDescent="0.25">
      <c r="A4767" s="170"/>
      <c r="B4767" s="170"/>
    </row>
    <row r="4768" spans="1:2" x14ac:dyDescent="0.25">
      <c r="A4768" s="170"/>
      <c r="B4768" s="170"/>
    </row>
    <row r="4769" spans="1:2" x14ac:dyDescent="0.25">
      <c r="A4769" s="170"/>
      <c r="B4769" s="170"/>
    </row>
    <row r="4770" spans="1:2" x14ac:dyDescent="0.25">
      <c r="A4770" s="170"/>
      <c r="B4770" s="170"/>
    </row>
    <row r="4771" spans="1:2" x14ac:dyDescent="0.25">
      <c r="A4771" s="170"/>
      <c r="B4771" s="170"/>
    </row>
    <row r="4772" spans="1:2" x14ac:dyDescent="0.25">
      <c r="A4772" s="170"/>
      <c r="B4772" s="170"/>
    </row>
    <row r="4773" spans="1:2" x14ac:dyDescent="0.25">
      <c r="A4773" s="170"/>
      <c r="B4773" s="170"/>
    </row>
    <row r="4774" spans="1:2" x14ac:dyDescent="0.25">
      <c r="A4774" s="170"/>
      <c r="B4774" s="170"/>
    </row>
    <row r="4775" spans="1:2" x14ac:dyDescent="0.25">
      <c r="A4775" s="170"/>
      <c r="B4775" s="170"/>
    </row>
    <row r="4776" spans="1:2" x14ac:dyDescent="0.25">
      <c r="A4776" s="170"/>
      <c r="B4776" s="170"/>
    </row>
    <row r="4777" spans="1:2" x14ac:dyDescent="0.25">
      <c r="A4777" s="170"/>
      <c r="B4777" s="170"/>
    </row>
    <row r="4778" spans="1:2" x14ac:dyDescent="0.25">
      <c r="A4778" s="170"/>
      <c r="B4778" s="170"/>
    </row>
    <row r="4779" spans="1:2" x14ac:dyDescent="0.25">
      <c r="A4779" s="170"/>
      <c r="B4779" s="170"/>
    </row>
    <row r="4780" spans="1:2" x14ac:dyDescent="0.25">
      <c r="A4780" s="170"/>
      <c r="B4780" s="170"/>
    </row>
    <row r="4781" spans="1:2" x14ac:dyDescent="0.25">
      <c r="A4781" s="170"/>
      <c r="B4781" s="170"/>
    </row>
    <row r="4782" spans="1:2" x14ac:dyDescent="0.25">
      <c r="A4782" s="170"/>
      <c r="B4782" s="170"/>
    </row>
    <row r="4783" spans="1:2" x14ac:dyDescent="0.25">
      <c r="A4783" s="170"/>
      <c r="B4783" s="170"/>
    </row>
    <row r="4784" spans="1:2" x14ac:dyDescent="0.25">
      <c r="A4784" s="170"/>
      <c r="B4784" s="170"/>
    </row>
    <row r="4785" spans="1:2" x14ac:dyDescent="0.25">
      <c r="A4785" s="170"/>
      <c r="B4785" s="170"/>
    </row>
    <row r="4786" spans="1:2" x14ac:dyDescent="0.25">
      <c r="A4786" s="170"/>
      <c r="B4786" s="170"/>
    </row>
    <row r="4787" spans="1:2" x14ac:dyDescent="0.25">
      <c r="A4787" s="170"/>
      <c r="B4787" s="170"/>
    </row>
    <row r="4788" spans="1:2" x14ac:dyDescent="0.25">
      <c r="A4788" s="170"/>
      <c r="B4788" s="170"/>
    </row>
    <row r="4789" spans="1:2" x14ac:dyDescent="0.25">
      <c r="A4789" s="170"/>
      <c r="B4789" s="170"/>
    </row>
    <row r="4790" spans="1:2" x14ac:dyDescent="0.25">
      <c r="A4790" s="170"/>
      <c r="B4790" s="170"/>
    </row>
    <row r="4791" spans="1:2" x14ac:dyDescent="0.25">
      <c r="A4791" s="170"/>
      <c r="B4791" s="170"/>
    </row>
    <row r="4792" spans="1:2" x14ac:dyDescent="0.25">
      <c r="A4792" s="170"/>
      <c r="B4792" s="170"/>
    </row>
    <row r="4793" spans="1:2" x14ac:dyDescent="0.25">
      <c r="A4793" s="170"/>
      <c r="B4793" s="170"/>
    </row>
    <row r="4794" spans="1:2" x14ac:dyDescent="0.25">
      <c r="A4794" s="170"/>
      <c r="B4794" s="170"/>
    </row>
    <row r="4795" spans="1:2" x14ac:dyDescent="0.25">
      <c r="A4795" s="170"/>
      <c r="B4795" s="170"/>
    </row>
    <row r="4796" spans="1:2" x14ac:dyDescent="0.25">
      <c r="A4796" s="170"/>
      <c r="B4796" s="170"/>
    </row>
    <row r="4797" spans="1:2" x14ac:dyDescent="0.25">
      <c r="A4797" s="170"/>
      <c r="B4797" s="170"/>
    </row>
    <row r="4798" spans="1:2" x14ac:dyDescent="0.25">
      <c r="A4798" s="170"/>
      <c r="B4798" s="170"/>
    </row>
    <row r="4799" spans="1:2" x14ac:dyDescent="0.25">
      <c r="A4799" s="170"/>
      <c r="B4799" s="170"/>
    </row>
    <row r="4800" spans="1:2" x14ac:dyDescent="0.25">
      <c r="A4800" s="170"/>
      <c r="B4800" s="170"/>
    </row>
    <row r="4801" spans="1:2" x14ac:dyDescent="0.25">
      <c r="A4801" s="170"/>
      <c r="B4801" s="170"/>
    </row>
    <row r="4802" spans="1:2" x14ac:dyDescent="0.25">
      <c r="A4802" s="170"/>
      <c r="B4802" s="170"/>
    </row>
    <row r="4803" spans="1:2" x14ac:dyDescent="0.25">
      <c r="A4803" s="170"/>
      <c r="B4803" s="170"/>
    </row>
    <row r="4804" spans="1:2" x14ac:dyDescent="0.25">
      <c r="A4804" s="170"/>
      <c r="B4804" s="170"/>
    </row>
    <row r="4805" spans="1:2" x14ac:dyDescent="0.25">
      <c r="A4805" s="170"/>
      <c r="B4805" s="170"/>
    </row>
    <row r="4806" spans="1:2" x14ac:dyDescent="0.25">
      <c r="A4806" s="170"/>
      <c r="B4806" s="170"/>
    </row>
    <row r="4807" spans="1:2" x14ac:dyDescent="0.25">
      <c r="A4807" s="170"/>
      <c r="B4807" s="170"/>
    </row>
    <row r="4808" spans="1:2" x14ac:dyDescent="0.25">
      <c r="A4808" s="170"/>
      <c r="B4808" s="170"/>
    </row>
    <row r="4809" spans="1:2" x14ac:dyDescent="0.25">
      <c r="A4809" s="170"/>
      <c r="B4809" s="170"/>
    </row>
    <row r="4810" spans="1:2" x14ac:dyDescent="0.25">
      <c r="A4810" s="170"/>
      <c r="B4810" s="170"/>
    </row>
    <row r="4811" spans="1:2" x14ac:dyDescent="0.25">
      <c r="A4811" s="170"/>
      <c r="B4811" s="170"/>
    </row>
    <row r="4812" spans="1:2" x14ac:dyDescent="0.25">
      <c r="A4812" s="170"/>
      <c r="B4812" s="170"/>
    </row>
    <row r="4813" spans="1:2" x14ac:dyDescent="0.25">
      <c r="A4813" s="170"/>
      <c r="B4813" s="170"/>
    </row>
    <row r="4814" spans="1:2" x14ac:dyDescent="0.25">
      <c r="A4814" s="170"/>
      <c r="B4814" s="170"/>
    </row>
    <row r="4815" spans="1:2" x14ac:dyDescent="0.25">
      <c r="A4815" s="170"/>
      <c r="B4815" s="170"/>
    </row>
    <row r="4816" spans="1:2" x14ac:dyDescent="0.25">
      <c r="A4816" s="170"/>
      <c r="B4816" s="170"/>
    </row>
    <row r="4817" spans="1:2" x14ac:dyDescent="0.25">
      <c r="A4817" s="170"/>
      <c r="B4817" s="170"/>
    </row>
    <row r="4818" spans="1:2" x14ac:dyDescent="0.25">
      <c r="A4818" s="170"/>
      <c r="B4818" s="170"/>
    </row>
    <row r="4819" spans="1:2" x14ac:dyDescent="0.25">
      <c r="A4819" s="170"/>
      <c r="B4819" s="170"/>
    </row>
    <row r="4820" spans="1:2" x14ac:dyDescent="0.25">
      <c r="A4820" s="170"/>
      <c r="B4820" s="170"/>
    </row>
    <row r="4821" spans="1:2" x14ac:dyDescent="0.25">
      <c r="A4821" s="170"/>
      <c r="B4821" s="170"/>
    </row>
    <row r="4822" spans="1:2" x14ac:dyDescent="0.25">
      <c r="A4822" s="170"/>
      <c r="B4822" s="170"/>
    </row>
    <row r="4823" spans="1:2" x14ac:dyDescent="0.25">
      <c r="A4823" s="170"/>
      <c r="B4823" s="170"/>
    </row>
    <row r="4824" spans="1:2" x14ac:dyDescent="0.25">
      <c r="A4824" s="170"/>
      <c r="B4824" s="170"/>
    </row>
    <row r="4825" spans="1:2" x14ac:dyDescent="0.25">
      <c r="A4825" s="170"/>
      <c r="B4825" s="170"/>
    </row>
    <row r="4826" spans="1:2" x14ac:dyDescent="0.25">
      <c r="A4826" s="170"/>
      <c r="B4826" s="170"/>
    </row>
    <row r="4827" spans="1:2" x14ac:dyDescent="0.25">
      <c r="A4827" s="170"/>
      <c r="B4827" s="170"/>
    </row>
    <row r="4828" spans="1:2" x14ac:dyDescent="0.25">
      <c r="A4828" s="170"/>
      <c r="B4828" s="170"/>
    </row>
    <row r="4829" spans="1:2" x14ac:dyDescent="0.25">
      <c r="A4829" s="170"/>
      <c r="B4829" s="170"/>
    </row>
    <row r="4830" spans="1:2" x14ac:dyDescent="0.25">
      <c r="A4830" s="170"/>
      <c r="B4830" s="170"/>
    </row>
    <row r="4831" spans="1:2" x14ac:dyDescent="0.25">
      <c r="A4831" s="170"/>
      <c r="B4831" s="170"/>
    </row>
    <row r="4832" spans="1:2" x14ac:dyDescent="0.25">
      <c r="A4832" s="170"/>
      <c r="B4832" s="170"/>
    </row>
    <row r="4833" spans="1:2" x14ac:dyDescent="0.25">
      <c r="A4833" s="170"/>
      <c r="B4833" s="170"/>
    </row>
    <row r="4834" spans="1:2" x14ac:dyDescent="0.25">
      <c r="A4834" s="170"/>
      <c r="B4834" s="170"/>
    </row>
    <row r="4835" spans="1:2" x14ac:dyDescent="0.25">
      <c r="A4835" s="170"/>
      <c r="B4835" s="170"/>
    </row>
    <row r="4836" spans="1:2" x14ac:dyDescent="0.25">
      <c r="A4836" s="170"/>
      <c r="B4836" s="170"/>
    </row>
    <row r="4837" spans="1:2" x14ac:dyDescent="0.25">
      <c r="A4837" s="170"/>
      <c r="B4837" s="170"/>
    </row>
    <row r="4838" spans="1:2" x14ac:dyDescent="0.25">
      <c r="A4838" s="170"/>
      <c r="B4838" s="170"/>
    </row>
    <row r="4839" spans="1:2" x14ac:dyDescent="0.25">
      <c r="A4839" s="170"/>
      <c r="B4839" s="170"/>
    </row>
    <row r="4840" spans="1:2" x14ac:dyDescent="0.25">
      <c r="A4840" s="170"/>
      <c r="B4840" s="170"/>
    </row>
    <row r="4841" spans="1:2" x14ac:dyDescent="0.25">
      <c r="A4841" s="170"/>
      <c r="B4841" s="170"/>
    </row>
    <row r="4842" spans="1:2" x14ac:dyDescent="0.25">
      <c r="A4842" s="170"/>
      <c r="B4842" s="170"/>
    </row>
    <row r="4843" spans="1:2" x14ac:dyDescent="0.25">
      <c r="A4843" s="170"/>
      <c r="B4843" s="170"/>
    </row>
    <row r="4844" spans="1:2" x14ac:dyDescent="0.25">
      <c r="A4844" s="170"/>
      <c r="B4844" s="170"/>
    </row>
    <row r="4845" spans="1:2" x14ac:dyDescent="0.25">
      <c r="A4845" s="170"/>
      <c r="B4845" s="170"/>
    </row>
    <row r="4846" spans="1:2" x14ac:dyDescent="0.25">
      <c r="A4846" s="170"/>
      <c r="B4846" s="170"/>
    </row>
    <row r="4847" spans="1:2" x14ac:dyDescent="0.25">
      <c r="A4847" s="170"/>
      <c r="B4847" s="170"/>
    </row>
    <row r="4848" spans="1:2" x14ac:dyDescent="0.25">
      <c r="A4848" s="170"/>
      <c r="B4848" s="170"/>
    </row>
    <row r="4849" spans="1:2" x14ac:dyDescent="0.25">
      <c r="A4849" s="170"/>
      <c r="B4849" s="170"/>
    </row>
    <row r="4850" spans="1:2" x14ac:dyDescent="0.25">
      <c r="A4850" s="170"/>
      <c r="B4850" s="170"/>
    </row>
    <row r="4851" spans="1:2" x14ac:dyDescent="0.25">
      <c r="A4851" s="170"/>
      <c r="B4851" s="170"/>
    </row>
    <row r="4852" spans="1:2" x14ac:dyDescent="0.25">
      <c r="A4852" s="170"/>
      <c r="B4852" s="170"/>
    </row>
    <row r="4853" spans="1:2" x14ac:dyDescent="0.25">
      <c r="A4853" s="170"/>
      <c r="B4853" s="170"/>
    </row>
    <row r="4854" spans="1:2" x14ac:dyDescent="0.25">
      <c r="A4854" s="170"/>
      <c r="B4854" s="170"/>
    </row>
    <row r="4855" spans="1:2" x14ac:dyDescent="0.25">
      <c r="A4855" s="170"/>
      <c r="B4855" s="170"/>
    </row>
    <row r="4856" spans="1:2" x14ac:dyDescent="0.25">
      <c r="A4856" s="170"/>
      <c r="B4856" s="170"/>
    </row>
    <row r="4857" spans="1:2" x14ac:dyDescent="0.25">
      <c r="A4857" s="170"/>
      <c r="B4857" s="170"/>
    </row>
    <row r="4858" spans="1:2" x14ac:dyDescent="0.25">
      <c r="A4858" s="170"/>
      <c r="B4858" s="170"/>
    </row>
    <row r="4859" spans="1:2" x14ac:dyDescent="0.25">
      <c r="A4859" s="170"/>
      <c r="B4859" s="170"/>
    </row>
    <row r="4860" spans="1:2" x14ac:dyDescent="0.25">
      <c r="A4860" s="170"/>
      <c r="B4860" s="170"/>
    </row>
    <row r="4861" spans="1:2" x14ac:dyDescent="0.25">
      <c r="A4861" s="170"/>
      <c r="B4861" s="170"/>
    </row>
    <row r="4862" spans="1:2" x14ac:dyDescent="0.25">
      <c r="A4862" s="170"/>
      <c r="B4862" s="170"/>
    </row>
    <row r="4863" spans="1:2" x14ac:dyDescent="0.25">
      <c r="A4863" s="170"/>
      <c r="B4863" s="170"/>
    </row>
    <row r="4864" spans="1:2" x14ac:dyDescent="0.25">
      <c r="A4864" s="170"/>
      <c r="B4864" s="170"/>
    </row>
    <row r="4865" spans="1:2" x14ac:dyDescent="0.25">
      <c r="A4865" s="170"/>
      <c r="B4865" s="170"/>
    </row>
    <row r="4866" spans="1:2" x14ac:dyDescent="0.25">
      <c r="A4866" s="170"/>
      <c r="B4866" s="170"/>
    </row>
    <row r="4867" spans="1:2" x14ac:dyDescent="0.25">
      <c r="A4867" s="170"/>
      <c r="B4867" s="170"/>
    </row>
    <row r="4868" spans="1:2" x14ac:dyDescent="0.25">
      <c r="A4868" s="170"/>
      <c r="B4868" s="170"/>
    </row>
    <row r="4869" spans="1:2" x14ac:dyDescent="0.25">
      <c r="A4869" s="170"/>
      <c r="B4869" s="170"/>
    </row>
    <row r="4870" spans="1:2" x14ac:dyDescent="0.25">
      <c r="A4870" s="170"/>
      <c r="B4870" s="170"/>
    </row>
    <row r="4871" spans="1:2" x14ac:dyDescent="0.25">
      <c r="A4871" s="170"/>
      <c r="B4871" s="170"/>
    </row>
    <row r="4872" spans="1:2" x14ac:dyDescent="0.25">
      <c r="A4872" s="170"/>
      <c r="B4872" s="170"/>
    </row>
    <row r="4873" spans="1:2" x14ac:dyDescent="0.25">
      <c r="A4873" s="170"/>
      <c r="B4873" s="170"/>
    </row>
    <row r="4874" spans="1:2" x14ac:dyDescent="0.25">
      <c r="A4874" s="170"/>
      <c r="B4874" s="170"/>
    </row>
    <row r="4875" spans="1:2" x14ac:dyDescent="0.25">
      <c r="A4875" s="170"/>
      <c r="B4875" s="170"/>
    </row>
    <row r="4876" spans="1:2" x14ac:dyDescent="0.25">
      <c r="A4876" s="170"/>
      <c r="B4876" s="170"/>
    </row>
    <row r="4877" spans="1:2" x14ac:dyDescent="0.25">
      <c r="A4877" s="170"/>
      <c r="B4877" s="170"/>
    </row>
    <row r="4878" spans="1:2" x14ac:dyDescent="0.25">
      <c r="A4878" s="170"/>
      <c r="B4878" s="170"/>
    </row>
    <row r="4879" spans="1:2" x14ac:dyDescent="0.25">
      <c r="A4879" s="170"/>
      <c r="B4879" s="170"/>
    </row>
    <row r="4880" spans="1:2" x14ac:dyDescent="0.25">
      <c r="A4880" s="170"/>
      <c r="B4880" s="170"/>
    </row>
    <row r="4881" spans="1:2" x14ac:dyDescent="0.25">
      <c r="A4881" s="170"/>
      <c r="B4881" s="170"/>
    </row>
    <row r="4882" spans="1:2" x14ac:dyDescent="0.25">
      <c r="A4882" s="170"/>
      <c r="B4882" s="170"/>
    </row>
    <row r="4883" spans="1:2" x14ac:dyDescent="0.25">
      <c r="A4883" s="170"/>
      <c r="B4883" s="170"/>
    </row>
    <row r="4884" spans="1:2" x14ac:dyDescent="0.25">
      <c r="A4884" s="170"/>
      <c r="B4884" s="170"/>
    </row>
    <row r="4885" spans="1:2" x14ac:dyDescent="0.25">
      <c r="A4885" s="170"/>
      <c r="B4885" s="170"/>
    </row>
    <row r="4886" spans="1:2" x14ac:dyDescent="0.25">
      <c r="A4886" s="170"/>
      <c r="B4886" s="170"/>
    </row>
    <row r="4887" spans="1:2" x14ac:dyDescent="0.25">
      <c r="A4887" s="170"/>
      <c r="B4887" s="170"/>
    </row>
    <row r="4888" spans="1:2" x14ac:dyDescent="0.25">
      <c r="A4888" s="170"/>
      <c r="B4888" s="170"/>
    </row>
    <row r="4889" spans="1:2" x14ac:dyDescent="0.25">
      <c r="A4889" s="170"/>
      <c r="B4889" s="170"/>
    </row>
    <row r="4890" spans="1:2" x14ac:dyDescent="0.25">
      <c r="A4890" s="170"/>
      <c r="B4890" s="170"/>
    </row>
    <row r="4891" spans="1:2" x14ac:dyDescent="0.25">
      <c r="A4891" s="170"/>
      <c r="B4891" s="170"/>
    </row>
    <row r="4892" spans="1:2" x14ac:dyDescent="0.25">
      <c r="A4892" s="170"/>
      <c r="B4892" s="170"/>
    </row>
    <row r="4893" spans="1:2" x14ac:dyDescent="0.25">
      <c r="A4893" s="170"/>
      <c r="B4893" s="170"/>
    </row>
    <row r="4894" spans="1:2" x14ac:dyDescent="0.25">
      <c r="A4894" s="170"/>
      <c r="B4894" s="170"/>
    </row>
    <row r="4895" spans="1:2" x14ac:dyDescent="0.25">
      <c r="A4895" s="170"/>
      <c r="B4895" s="170"/>
    </row>
    <row r="4896" spans="1:2" x14ac:dyDescent="0.25">
      <c r="A4896" s="170"/>
      <c r="B4896" s="170"/>
    </row>
    <row r="4897" spans="1:2" x14ac:dyDescent="0.25">
      <c r="A4897" s="170"/>
      <c r="B4897" s="170"/>
    </row>
    <row r="4898" spans="1:2" x14ac:dyDescent="0.25">
      <c r="A4898" s="170"/>
      <c r="B4898" s="170"/>
    </row>
    <row r="4899" spans="1:2" x14ac:dyDescent="0.25">
      <c r="A4899" s="170"/>
      <c r="B4899" s="170"/>
    </row>
    <row r="4900" spans="1:2" x14ac:dyDescent="0.25">
      <c r="A4900" s="170"/>
      <c r="B4900" s="170"/>
    </row>
    <row r="4901" spans="1:2" x14ac:dyDescent="0.25">
      <c r="A4901" s="170"/>
      <c r="B4901" s="170"/>
    </row>
    <row r="4902" spans="1:2" x14ac:dyDescent="0.25">
      <c r="A4902" s="170"/>
      <c r="B4902" s="170"/>
    </row>
    <row r="4903" spans="1:2" x14ac:dyDescent="0.25">
      <c r="A4903" s="170"/>
      <c r="B4903" s="170"/>
    </row>
    <row r="4904" spans="1:2" x14ac:dyDescent="0.25">
      <c r="A4904" s="170"/>
      <c r="B4904" s="170"/>
    </row>
    <row r="4905" spans="1:2" x14ac:dyDescent="0.25">
      <c r="A4905" s="170"/>
      <c r="B4905" s="170"/>
    </row>
    <row r="4906" spans="1:2" x14ac:dyDescent="0.25">
      <c r="A4906" s="170"/>
      <c r="B4906" s="170"/>
    </row>
    <row r="4907" spans="1:2" x14ac:dyDescent="0.25">
      <c r="A4907" s="170"/>
      <c r="B4907" s="170"/>
    </row>
    <row r="4908" spans="1:2" x14ac:dyDescent="0.25">
      <c r="A4908" s="170"/>
      <c r="B4908" s="170"/>
    </row>
    <row r="4909" spans="1:2" x14ac:dyDescent="0.25">
      <c r="A4909" s="170"/>
      <c r="B4909" s="170"/>
    </row>
    <row r="4910" spans="1:2" x14ac:dyDescent="0.25">
      <c r="A4910" s="170"/>
      <c r="B4910" s="170"/>
    </row>
    <row r="4911" spans="1:2" x14ac:dyDescent="0.25">
      <c r="A4911" s="170"/>
      <c r="B4911" s="170"/>
    </row>
    <row r="4912" spans="1:2" x14ac:dyDescent="0.25">
      <c r="A4912" s="170"/>
      <c r="B4912" s="170"/>
    </row>
    <row r="4913" spans="1:2" x14ac:dyDescent="0.25">
      <c r="A4913" s="170"/>
      <c r="B4913" s="170"/>
    </row>
    <row r="4914" spans="1:2" x14ac:dyDescent="0.25">
      <c r="A4914" s="170"/>
      <c r="B4914" s="170"/>
    </row>
    <row r="4915" spans="1:2" x14ac:dyDescent="0.25">
      <c r="A4915" s="170"/>
      <c r="B4915" s="170"/>
    </row>
    <row r="4916" spans="1:2" x14ac:dyDescent="0.25">
      <c r="A4916" s="170"/>
      <c r="B4916" s="170"/>
    </row>
    <row r="4917" spans="1:2" x14ac:dyDescent="0.25">
      <c r="A4917" s="170"/>
      <c r="B4917" s="170"/>
    </row>
    <row r="4918" spans="1:2" x14ac:dyDescent="0.25">
      <c r="A4918" s="170"/>
      <c r="B4918" s="170"/>
    </row>
    <row r="4919" spans="1:2" x14ac:dyDescent="0.25">
      <c r="A4919" s="170"/>
      <c r="B4919" s="170"/>
    </row>
    <row r="4920" spans="1:2" x14ac:dyDescent="0.25">
      <c r="A4920" s="170"/>
      <c r="B4920" s="170"/>
    </row>
    <row r="4921" spans="1:2" x14ac:dyDescent="0.25">
      <c r="A4921" s="170"/>
      <c r="B4921" s="170"/>
    </row>
    <row r="4922" spans="1:2" x14ac:dyDescent="0.25">
      <c r="A4922" s="170"/>
      <c r="B4922" s="170"/>
    </row>
    <row r="4923" spans="1:2" x14ac:dyDescent="0.25">
      <c r="A4923" s="170"/>
      <c r="B4923" s="170"/>
    </row>
    <row r="4924" spans="1:2" x14ac:dyDescent="0.25">
      <c r="A4924" s="170"/>
      <c r="B4924" s="170"/>
    </row>
    <row r="4925" spans="1:2" x14ac:dyDescent="0.25">
      <c r="A4925" s="170"/>
      <c r="B4925" s="170"/>
    </row>
    <row r="4926" spans="1:2" x14ac:dyDescent="0.25">
      <c r="A4926" s="170"/>
      <c r="B4926" s="170"/>
    </row>
    <row r="4927" spans="1:2" x14ac:dyDescent="0.25">
      <c r="A4927" s="170"/>
      <c r="B4927" s="170"/>
    </row>
    <row r="4928" spans="1:2" x14ac:dyDescent="0.25">
      <c r="A4928" s="170"/>
      <c r="B4928" s="170"/>
    </row>
    <row r="4929" spans="1:2" x14ac:dyDescent="0.25">
      <c r="A4929" s="170"/>
      <c r="B4929" s="170"/>
    </row>
    <row r="4930" spans="1:2" x14ac:dyDescent="0.25">
      <c r="A4930" s="170"/>
      <c r="B4930" s="170"/>
    </row>
    <row r="4931" spans="1:2" x14ac:dyDescent="0.25">
      <c r="A4931" s="170"/>
      <c r="B4931" s="170"/>
    </row>
    <row r="4932" spans="1:2" x14ac:dyDescent="0.25">
      <c r="A4932" s="170"/>
      <c r="B4932" s="170"/>
    </row>
    <row r="4933" spans="1:2" x14ac:dyDescent="0.25">
      <c r="A4933" s="170"/>
      <c r="B4933" s="170"/>
    </row>
    <row r="4934" spans="1:2" x14ac:dyDescent="0.25">
      <c r="A4934" s="170"/>
      <c r="B4934" s="170"/>
    </row>
    <row r="4935" spans="1:2" x14ac:dyDescent="0.25">
      <c r="A4935" s="170"/>
      <c r="B4935" s="170"/>
    </row>
    <row r="4936" spans="1:2" x14ac:dyDescent="0.25">
      <c r="A4936" s="170"/>
      <c r="B4936" s="170"/>
    </row>
    <row r="4937" spans="1:2" x14ac:dyDescent="0.25">
      <c r="A4937" s="170"/>
      <c r="B4937" s="170"/>
    </row>
    <row r="4938" spans="1:2" x14ac:dyDescent="0.25">
      <c r="A4938" s="170"/>
      <c r="B4938" s="170"/>
    </row>
    <row r="4939" spans="1:2" x14ac:dyDescent="0.25">
      <c r="A4939" s="170"/>
      <c r="B4939" s="170"/>
    </row>
    <row r="4940" spans="1:2" x14ac:dyDescent="0.25">
      <c r="A4940" s="170"/>
      <c r="B4940" s="170"/>
    </row>
    <row r="4941" spans="1:2" x14ac:dyDescent="0.25">
      <c r="A4941" s="170"/>
      <c r="B4941" s="170"/>
    </row>
    <row r="4942" spans="1:2" x14ac:dyDescent="0.25">
      <c r="A4942" s="170"/>
      <c r="B4942" s="170"/>
    </row>
    <row r="4943" spans="1:2" x14ac:dyDescent="0.25">
      <c r="A4943" s="170"/>
      <c r="B4943" s="170"/>
    </row>
    <row r="4944" spans="1:2" x14ac:dyDescent="0.25">
      <c r="A4944" s="170"/>
      <c r="B4944" s="170"/>
    </row>
    <row r="4945" spans="1:2" x14ac:dyDescent="0.25">
      <c r="A4945" s="170"/>
      <c r="B4945" s="170"/>
    </row>
    <row r="4946" spans="1:2" x14ac:dyDescent="0.25">
      <c r="A4946" s="170"/>
      <c r="B4946" s="170"/>
    </row>
    <row r="4947" spans="1:2" x14ac:dyDescent="0.25">
      <c r="A4947" s="170"/>
      <c r="B4947" s="170"/>
    </row>
  </sheetData>
  <mergeCells count="8">
    <mergeCell ref="A1:K1"/>
    <mergeCell ref="A2:K2"/>
    <mergeCell ref="A3:K3"/>
    <mergeCell ref="A6:A7"/>
    <mergeCell ref="B6:B7"/>
    <mergeCell ref="C6:E6"/>
    <mergeCell ref="F6:H6"/>
    <mergeCell ref="I6:K6"/>
  </mergeCells>
  <printOptions horizontalCentered="1"/>
  <pageMargins left="0.51181102362204722" right="0.51181102362204722" top="0.47244094488188981" bottom="0.39370078740157483" header="0.31496062992125984" footer="0.15748031496062992"/>
  <pageSetup paperSize="9" scale="65" orientation="landscape" r:id="rId1"/>
  <headerFooter>
    <oddHeader>&amp;R&amp;"Times New Roman CE,Félkövér"&amp;11  3. melléklet a 12/2021.(II.25.) önkormányzati rendelethez&amp;"Times New Roman CE,Dőlt"&amp;10
3. melléklet
az 5/2020.(II.17.) önkormányzati rendelethez</oddHeader>
  </headerFooter>
  <rowBreaks count="2" manualBreakCount="2">
    <brk id="26" max="10" man="1"/>
    <brk id="52"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T37"/>
  <sheetViews>
    <sheetView view="pageBreakPreview" zoomScale="80" zoomScaleNormal="100" zoomScaleSheetLayoutView="80" workbookViewId="0">
      <pane xSplit="2" ySplit="8" topLeftCell="C19" activePane="bottomRight" state="frozen"/>
      <selection sqref="A1:XFD1048576"/>
      <selection pane="topRight" sqref="A1:XFD1048576"/>
      <selection pane="bottomLeft" sqref="A1:XFD1048576"/>
      <selection pane="bottomRight" sqref="A1:XFD1048576"/>
    </sheetView>
  </sheetViews>
  <sheetFormatPr defaultColWidth="9" defaultRowHeight="15.75" x14ac:dyDescent="0.25"/>
  <cols>
    <col min="1" max="1" width="35.75" style="45" customWidth="1"/>
    <col min="2" max="2" width="11" style="45" customWidth="1"/>
    <col min="3" max="3" width="14.75" style="116" customWidth="1"/>
    <col min="4" max="4" width="14.5" style="116" customWidth="1"/>
    <col min="5" max="5" width="15" style="116" customWidth="1"/>
    <col min="6" max="6" width="14.375" style="116" customWidth="1"/>
    <col min="7" max="7" width="14.25" style="116" customWidth="1"/>
    <col min="8" max="8" width="14.625" style="116" customWidth="1"/>
    <col min="9" max="9" width="14.75" style="116" customWidth="1"/>
    <col min="10" max="10" width="14.375" style="116" customWidth="1"/>
    <col min="11" max="11" width="14.75" style="116" customWidth="1"/>
    <col min="12" max="12" width="9" style="45"/>
    <col min="13" max="14" width="11.375" style="45" bestFit="1" customWidth="1"/>
    <col min="15" max="254" width="9" style="45"/>
    <col min="255" max="16384" width="9" style="392"/>
  </cols>
  <sheetData>
    <row r="1" spans="1:254" x14ac:dyDescent="0.25">
      <c r="A1" s="965" t="s">
        <v>180</v>
      </c>
      <c r="B1" s="965"/>
      <c r="C1" s="965"/>
      <c r="D1" s="965"/>
      <c r="E1" s="965"/>
      <c r="F1" s="965"/>
      <c r="G1" s="965"/>
      <c r="H1" s="965"/>
      <c r="I1" s="965"/>
      <c r="J1" s="965"/>
      <c r="K1" s="965"/>
    </row>
    <row r="2" spans="1:254" x14ac:dyDescent="0.25">
      <c r="A2" s="965" t="s">
        <v>768</v>
      </c>
      <c r="B2" s="965"/>
      <c r="C2" s="965"/>
      <c r="D2" s="965"/>
      <c r="E2" s="965"/>
      <c r="F2" s="965"/>
      <c r="G2" s="965"/>
      <c r="H2" s="965"/>
      <c r="I2" s="965"/>
      <c r="J2" s="965"/>
      <c r="K2" s="965"/>
    </row>
    <row r="3" spans="1:254" x14ac:dyDescent="0.25">
      <c r="A3" s="965" t="s">
        <v>1045</v>
      </c>
      <c r="B3" s="965"/>
      <c r="C3" s="965"/>
      <c r="D3" s="965"/>
      <c r="E3" s="965"/>
      <c r="F3" s="965"/>
      <c r="G3" s="965"/>
      <c r="H3" s="965"/>
      <c r="I3" s="965"/>
      <c r="J3" s="965"/>
      <c r="K3" s="965"/>
    </row>
    <row r="5" spans="1:254" ht="16.5" thickBot="1" x14ac:dyDescent="0.3"/>
    <row r="6" spans="1:254" ht="46.5" customHeight="1" thickTop="1" thickBot="1" x14ac:dyDescent="0.3">
      <c r="A6" s="973" t="s">
        <v>136</v>
      </c>
      <c r="B6" s="973" t="s">
        <v>153</v>
      </c>
      <c r="C6" s="958" t="s">
        <v>22</v>
      </c>
      <c r="D6" s="959"/>
      <c r="E6" s="960"/>
      <c r="F6" s="967" t="s">
        <v>181</v>
      </c>
      <c r="G6" s="968"/>
      <c r="H6" s="969"/>
      <c r="I6" s="975" t="s">
        <v>143</v>
      </c>
      <c r="J6" s="976"/>
      <c r="K6" s="977"/>
      <c r="L6" s="174"/>
      <c r="M6" s="174"/>
      <c r="N6" s="174"/>
      <c r="O6" s="174"/>
      <c r="P6" s="174"/>
      <c r="Q6" s="174"/>
      <c r="R6" s="174"/>
      <c r="S6" s="174"/>
      <c r="T6" s="174"/>
      <c r="U6" s="174"/>
      <c r="V6" s="174"/>
      <c r="W6" s="174"/>
      <c r="X6" s="174"/>
      <c r="Y6" s="174"/>
      <c r="Z6" s="174"/>
      <c r="AA6" s="174"/>
      <c r="AB6" s="174"/>
      <c r="AC6" s="174"/>
      <c r="AD6" s="174"/>
      <c r="AE6" s="174"/>
      <c r="AF6" s="174"/>
      <c r="AG6" s="174"/>
      <c r="AH6" s="174"/>
      <c r="AI6" s="174"/>
      <c r="AJ6" s="174"/>
      <c r="AK6" s="174"/>
      <c r="AL6" s="174"/>
      <c r="AM6" s="174"/>
      <c r="AN6" s="174"/>
      <c r="AO6" s="174"/>
      <c r="AP6" s="174"/>
      <c r="AQ6" s="174"/>
      <c r="AR6" s="174"/>
      <c r="AS6" s="174"/>
      <c r="AT6" s="174"/>
      <c r="AU6" s="174"/>
      <c r="AV6" s="174"/>
      <c r="AW6" s="174"/>
      <c r="AX6" s="174"/>
      <c r="AY6" s="174"/>
      <c r="AZ6" s="174"/>
      <c r="BA6" s="174"/>
      <c r="BB6" s="174"/>
      <c r="BC6" s="174"/>
      <c r="BD6" s="174"/>
      <c r="BE6" s="174"/>
      <c r="BF6" s="174"/>
      <c r="BG6" s="174"/>
      <c r="BH6" s="174"/>
      <c r="BI6" s="174"/>
      <c r="BJ6" s="174"/>
      <c r="BK6" s="174"/>
      <c r="BL6" s="174"/>
      <c r="BM6" s="174"/>
      <c r="BN6" s="174"/>
      <c r="BO6" s="174"/>
      <c r="BP6" s="174"/>
      <c r="BQ6" s="174"/>
      <c r="BR6" s="174"/>
      <c r="BS6" s="174"/>
      <c r="BT6" s="174"/>
      <c r="BU6" s="174"/>
      <c r="BV6" s="174"/>
      <c r="BW6" s="174"/>
      <c r="BX6" s="174"/>
      <c r="BY6" s="174"/>
      <c r="BZ6" s="174"/>
      <c r="CA6" s="174"/>
      <c r="CB6" s="174"/>
      <c r="CC6" s="174"/>
      <c r="CD6" s="174"/>
      <c r="CE6" s="174"/>
      <c r="CF6" s="174"/>
      <c r="CG6" s="174"/>
      <c r="CH6" s="174"/>
      <c r="CI6" s="174"/>
      <c r="CJ6" s="174"/>
      <c r="CK6" s="174"/>
      <c r="CL6" s="174"/>
      <c r="CM6" s="174"/>
      <c r="CN6" s="174"/>
      <c r="CO6" s="174"/>
      <c r="CP6" s="174"/>
      <c r="CQ6" s="174"/>
      <c r="CR6" s="174"/>
      <c r="CS6" s="174"/>
      <c r="CT6" s="174"/>
      <c r="CU6" s="174"/>
      <c r="CV6" s="174"/>
      <c r="CW6" s="174"/>
      <c r="CX6" s="174"/>
      <c r="CY6" s="174"/>
      <c r="CZ6" s="174"/>
      <c r="DA6" s="174"/>
      <c r="DB6" s="174"/>
      <c r="DC6" s="174"/>
      <c r="DD6" s="174"/>
      <c r="DE6" s="174"/>
      <c r="DF6" s="174"/>
      <c r="DG6" s="174"/>
      <c r="DH6" s="174"/>
      <c r="DI6" s="174"/>
      <c r="DJ6" s="174"/>
      <c r="DK6" s="174"/>
      <c r="DL6" s="174"/>
      <c r="DM6" s="174"/>
      <c r="DN6" s="174"/>
      <c r="DO6" s="174"/>
      <c r="DP6" s="174"/>
      <c r="DQ6" s="174"/>
      <c r="DR6" s="174"/>
      <c r="DS6" s="174"/>
      <c r="DT6" s="174"/>
      <c r="DU6" s="174"/>
      <c r="DV6" s="174"/>
      <c r="DW6" s="174"/>
      <c r="DX6" s="174"/>
      <c r="DY6" s="174"/>
      <c r="DZ6" s="174"/>
      <c r="EA6" s="174"/>
      <c r="EB6" s="174"/>
      <c r="EC6" s="174"/>
      <c r="ED6" s="174"/>
      <c r="EE6" s="174"/>
      <c r="EF6" s="174"/>
      <c r="EG6" s="174"/>
      <c r="EH6" s="174"/>
      <c r="EI6" s="174"/>
      <c r="EJ6" s="174"/>
      <c r="EK6" s="174"/>
      <c r="EL6" s="174"/>
      <c r="EM6" s="174"/>
      <c r="EN6" s="174"/>
      <c r="EO6" s="174"/>
      <c r="EP6" s="174"/>
      <c r="EQ6" s="174"/>
      <c r="ER6" s="174"/>
      <c r="ES6" s="174"/>
      <c r="ET6" s="174"/>
      <c r="EU6" s="174"/>
      <c r="EV6" s="174"/>
      <c r="EW6" s="174"/>
      <c r="EX6" s="174"/>
      <c r="EY6" s="174"/>
      <c r="EZ6" s="174"/>
      <c r="FA6" s="174"/>
      <c r="FB6" s="174"/>
      <c r="FC6" s="174"/>
      <c r="FD6" s="174"/>
      <c r="FE6" s="174"/>
      <c r="FF6" s="174"/>
      <c r="FG6" s="174"/>
      <c r="FH6" s="174"/>
      <c r="FI6" s="174"/>
      <c r="FJ6" s="174"/>
      <c r="FK6" s="174"/>
      <c r="FL6" s="174"/>
      <c r="FM6" s="174"/>
      <c r="FN6" s="174"/>
      <c r="FO6" s="174"/>
      <c r="FP6" s="174"/>
      <c r="FQ6" s="174"/>
      <c r="FR6" s="174"/>
      <c r="FS6" s="174"/>
      <c r="FT6" s="174"/>
      <c r="FU6" s="174"/>
      <c r="FV6" s="174"/>
      <c r="FW6" s="174"/>
      <c r="FX6" s="174"/>
      <c r="FY6" s="174"/>
      <c r="FZ6" s="174"/>
      <c r="GA6" s="174"/>
      <c r="GB6" s="174"/>
      <c r="GC6" s="174"/>
      <c r="GD6" s="174"/>
      <c r="GE6" s="174"/>
      <c r="GF6" s="174"/>
      <c r="GG6" s="174"/>
      <c r="GH6" s="174"/>
      <c r="GI6" s="174"/>
      <c r="GJ6" s="174"/>
      <c r="GK6" s="174"/>
      <c r="GL6" s="174"/>
      <c r="GM6" s="174"/>
      <c r="GN6" s="174"/>
      <c r="GO6" s="174"/>
      <c r="GP6" s="174"/>
      <c r="GQ6" s="174"/>
      <c r="GR6" s="174"/>
      <c r="GS6" s="174"/>
      <c r="GT6" s="174"/>
      <c r="GU6" s="174"/>
      <c r="GV6" s="174"/>
      <c r="GW6" s="174"/>
      <c r="GX6" s="174"/>
      <c r="GY6" s="174"/>
      <c r="GZ6" s="174"/>
      <c r="HA6" s="174"/>
      <c r="HB6" s="174"/>
      <c r="HC6" s="174"/>
      <c r="HD6" s="174"/>
      <c r="HE6" s="174"/>
      <c r="HF6" s="174"/>
      <c r="HG6" s="174"/>
      <c r="HH6" s="174"/>
      <c r="HI6" s="174"/>
      <c r="HJ6" s="174"/>
      <c r="HK6" s="174"/>
      <c r="HL6" s="174"/>
      <c r="HM6" s="174"/>
      <c r="HN6" s="174"/>
      <c r="HO6" s="174"/>
      <c r="HP6" s="174"/>
      <c r="HQ6" s="174"/>
      <c r="HR6" s="174"/>
      <c r="HS6" s="174"/>
      <c r="HT6" s="174"/>
      <c r="HU6" s="174"/>
      <c r="HV6" s="174"/>
      <c r="HW6" s="174"/>
      <c r="HX6" s="174"/>
      <c r="HY6" s="174"/>
      <c r="HZ6" s="174"/>
      <c r="IA6" s="174"/>
      <c r="IB6" s="174"/>
      <c r="IC6" s="174"/>
      <c r="ID6" s="174"/>
      <c r="IE6" s="174"/>
      <c r="IF6" s="174"/>
      <c r="IG6" s="174"/>
      <c r="IH6" s="174"/>
      <c r="II6" s="174"/>
      <c r="IJ6" s="174"/>
      <c r="IK6" s="174"/>
      <c r="IL6" s="174"/>
      <c r="IM6" s="174"/>
      <c r="IN6" s="174"/>
      <c r="IO6" s="174"/>
      <c r="IP6" s="174"/>
      <c r="IQ6" s="174"/>
      <c r="IR6" s="174"/>
      <c r="IS6" s="174"/>
      <c r="IT6" s="174"/>
    </row>
    <row r="7" spans="1:254" ht="33" thickTop="1" thickBot="1" x14ac:dyDescent="0.3">
      <c r="A7" s="974"/>
      <c r="B7" s="974"/>
      <c r="C7" s="612" t="s">
        <v>347</v>
      </c>
      <c r="D7" s="612" t="s">
        <v>348</v>
      </c>
      <c r="E7" s="612" t="s">
        <v>821</v>
      </c>
      <c r="F7" s="612" t="s">
        <v>347</v>
      </c>
      <c r="G7" s="612" t="s">
        <v>348</v>
      </c>
      <c r="H7" s="612" t="s">
        <v>821</v>
      </c>
      <c r="I7" s="612" t="s">
        <v>347</v>
      </c>
      <c r="J7" s="612" t="s">
        <v>348</v>
      </c>
      <c r="K7" s="612" t="s">
        <v>821</v>
      </c>
      <c r="L7" s="179"/>
      <c r="M7" s="179"/>
      <c r="N7" s="179"/>
      <c r="O7" s="179"/>
      <c r="P7" s="179"/>
      <c r="Q7" s="179"/>
      <c r="R7" s="179"/>
      <c r="S7" s="179"/>
      <c r="T7" s="179"/>
      <c r="U7" s="179"/>
      <c r="V7" s="179"/>
      <c r="W7" s="179"/>
      <c r="X7" s="179"/>
      <c r="Y7" s="179"/>
      <c r="Z7" s="179"/>
      <c r="AA7" s="179"/>
      <c r="AB7" s="179"/>
      <c r="AC7" s="179"/>
      <c r="AD7" s="179"/>
      <c r="AE7" s="179"/>
      <c r="AF7" s="179"/>
      <c r="AG7" s="179"/>
      <c r="AH7" s="179"/>
      <c r="AI7" s="179"/>
      <c r="AJ7" s="179"/>
      <c r="AK7" s="179"/>
      <c r="AL7" s="179"/>
      <c r="AM7" s="179"/>
      <c r="AN7" s="179"/>
      <c r="AO7" s="179"/>
      <c r="AP7" s="179"/>
      <c r="AQ7" s="179"/>
      <c r="AR7" s="179"/>
      <c r="AS7" s="179"/>
      <c r="AT7" s="179"/>
      <c r="AU7" s="179"/>
      <c r="AV7" s="179"/>
      <c r="AW7" s="179"/>
      <c r="AX7" s="179"/>
      <c r="AY7" s="179"/>
      <c r="AZ7" s="179"/>
      <c r="BA7" s="179"/>
      <c r="BB7" s="179"/>
      <c r="BC7" s="179"/>
      <c r="BD7" s="179"/>
      <c r="BE7" s="179"/>
      <c r="BF7" s="179"/>
      <c r="BG7" s="179"/>
      <c r="BH7" s="179"/>
      <c r="BI7" s="179"/>
      <c r="BJ7" s="179"/>
      <c r="BK7" s="179"/>
      <c r="BL7" s="179"/>
      <c r="BM7" s="179"/>
      <c r="BN7" s="179"/>
      <c r="BO7" s="179"/>
      <c r="BP7" s="179"/>
      <c r="BQ7" s="179"/>
      <c r="BR7" s="179"/>
      <c r="BS7" s="179"/>
      <c r="BT7" s="179"/>
      <c r="BU7" s="179"/>
      <c r="BV7" s="179"/>
      <c r="BW7" s="179"/>
      <c r="BX7" s="179"/>
      <c r="BY7" s="179"/>
      <c r="BZ7" s="179"/>
      <c r="CA7" s="179"/>
      <c r="CB7" s="179"/>
      <c r="CC7" s="179"/>
      <c r="CD7" s="179"/>
      <c r="CE7" s="179"/>
      <c r="CF7" s="179"/>
      <c r="CG7" s="179"/>
      <c r="CH7" s="179"/>
      <c r="CI7" s="179"/>
      <c r="CJ7" s="179"/>
      <c r="CK7" s="179"/>
      <c r="CL7" s="179"/>
      <c r="CM7" s="179"/>
      <c r="CN7" s="179"/>
      <c r="CO7" s="179"/>
      <c r="CP7" s="179"/>
      <c r="CQ7" s="179"/>
      <c r="CR7" s="179"/>
      <c r="CS7" s="179"/>
      <c r="CT7" s="179"/>
      <c r="CU7" s="179"/>
      <c r="CV7" s="179"/>
      <c r="CW7" s="179"/>
      <c r="CX7" s="179"/>
      <c r="CY7" s="179"/>
      <c r="CZ7" s="179"/>
      <c r="DA7" s="179"/>
      <c r="DB7" s="179"/>
      <c r="DC7" s="179"/>
      <c r="DD7" s="179"/>
      <c r="DE7" s="179"/>
      <c r="DF7" s="179"/>
      <c r="DG7" s="179"/>
      <c r="DH7" s="179"/>
      <c r="DI7" s="179"/>
      <c r="DJ7" s="179"/>
      <c r="DK7" s="179"/>
      <c r="DL7" s="179"/>
      <c r="DM7" s="179"/>
      <c r="DN7" s="179"/>
      <c r="DO7" s="179"/>
      <c r="DP7" s="179"/>
      <c r="DQ7" s="179"/>
      <c r="DR7" s="179"/>
      <c r="DS7" s="179"/>
      <c r="DT7" s="179"/>
      <c r="DU7" s="179"/>
      <c r="DV7" s="179"/>
      <c r="DW7" s="179"/>
      <c r="DX7" s="179"/>
      <c r="DY7" s="179"/>
      <c r="DZ7" s="179"/>
      <c r="EA7" s="179"/>
      <c r="EB7" s="179"/>
      <c r="EC7" s="179"/>
      <c r="ED7" s="179"/>
      <c r="EE7" s="179"/>
      <c r="EF7" s="179"/>
      <c r="EG7" s="179"/>
      <c r="EH7" s="179"/>
      <c r="EI7" s="179"/>
      <c r="EJ7" s="179"/>
      <c r="EK7" s="179"/>
      <c r="EL7" s="179"/>
      <c r="EM7" s="179"/>
      <c r="EN7" s="179"/>
      <c r="EO7" s="179"/>
      <c r="EP7" s="179"/>
      <c r="EQ7" s="179"/>
      <c r="ER7" s="179"/>
      <c r="ES7" s="179"/>
      <c r="ET7" s="179"/>
      <c r="EU7" s="179"/>
      <c r="EV7" s="179"/>
      <c r="EW7" s="179"/>
      <c r="EX7" s="179"/>
      <c r="EY7" s="179"/>
      <c r="EZ7" s="179"/>
      <c r="FA7" s="179"/>
      <c r="FB7" s="179"/>
      <c r="FC7" s="179"/>
      <c r="FD7" s="179"/>
      <c r="FE7" s="179"/>
      <c r="FF7" s="179"/>
      <c r="FG7" s="179"/>
      <c r="FH7" s="179"/>
      <c r="FI7" s="179"/>
      <c r="FJ7" s="179"/>
      <c r="FK7" s="179"/>
      <c r="FL7" s="179"/>
      <c r="FM7" s="179"/>
      <c r="FN7" s="179"/>
      <c r="FO7" s="179"/>
      <c r="FP7" s="179"/>
      <c r="FQ7" s="179"/>
      <c r="FR7" s="179"/>
      <c r="FS7" s="179"/>
      <c r="FT7" s="179"/>
      <c r="FU7" s="179"/>
      <c r="FV7" s="179"/>
      <c r="FW7" s="179"/>
      <c r="FX7" s="179"/>
      <c r="FY7" s="179"/>
      <c r="FZ7" s="179"/>
      <c r="GA7" s="179"/>
      <c r="GB7" s="179"/>
      <c r="GC7" s="179"/>
      <c r="GD7" s="179"/>
      <c r="GE7" s="179"/>
      <c r="GF7" s="179"/>
      <c r="GG7" s="179"/>
      <c r="GH7" s="179"/>
      <c r="GI7" s="179"/>
      <c r="GJ7" s="179"/>
      <c r="GK7" s="179"/>
      <c r="GL7" s="179"/>
      <c r="GM7" s="179"/>
      <c r="GN7" s="179"/>
      <c r="GO7" s="179"/>
      <c r="GP7" s="179"/>
      <c r="GQ7" s="179"/>
      <c r="GR7" s="179"/>
      <c r="GS7" s="179"/>
      <c r="GT7" s="179"/>
      <c r="GU7" s="179"/>
      <c r="GV7" s="179"/>
      <c r="GW7" s="179"/>
      <c r="GX7" s="179"/>
      <c r="GY7" s="179"/>
      <c r="GZ7" s="179"/>
      <c r="HA7" s="179"/>
      <c r="HB7" s="179"/>
      <c r="HC7" s="179"/>
      <c r="HD7" s="179"/>
      <c r="HE7" s="179"/>
      <c r="HF7" s="179"/>
      <c r="HG7" s="179"/>
      <c r="HH7" s="179"/>
      <c r="HI7" s="179"/>
      <c r="HJ7" s="179"/>
      <c r="HK7" s="179"/>
      <c r="HL7" s="179"/>
      <c r="HM7" s="179"/>
      <c r="HN7" s="179"/>
      <c r="HO7" s="179"/>
      <c r="HP7" s="179"/>
      <c r="HQ7" s="179"/>
      <c r="HR7" s="179"/>
      <c r="HS7" s="179"/>
      <c r="HT7" s="179"/>
      <c r="HU7" s="179"/>
      <c r="HV7" s="179"/>
      <c r="HW7" s="179"/>
      <c r="HX7" s="179"/>
      <c r="HY7" s="179"/>
      <c r="HZ7" s="179"/>
      <c r="IA7" s="179"/>
      <c r="IB7" s="179"/>
      <c r="IC7" s="179"/>
      <c r="ID7" s="179"/>
      <c r="IE7" s="179"/>
      <c r="IF7" s="179"/>
      <c r="IG7" s="179"/>
      <c r="IH7" s="179"/>
      <c r="II7" s="179"/>
      <c r="IJ7" s="179"/>
      <c r="IK7" s="179"/>
      <c r="IL7" s="179"/>
      <c r="IM7" s="179"/>
      <c r="IN7" s="179"/>
      <c r="IO7" s="179"/>
      <c r="IP7" s="179"/>
      <c r="IQ7" s="179"/>
      <c r="IR7" s="179"/>
      <c r="IS7" s="179"/>
      <c r="IT7" s="179"/>
    </row>
    <row r="8" spans="1:254" ht="17.25" thickTop="1" thickBot="1" x14ac:dyDescent="0.3">
      <c r="A8" s="218" t="s">
        <v>137</v>
      </c>
      <c r="B8" s="219"/>
      <c r="C8" s="612" t="s">
        <v>182</v>
      </c>
      <c r="D8" s="612" t="s">
        <v>349</v>
      </c>
      <c r="E8" s="612" t="s">
        <v>350</v>
      </c>
      <c r="F8" s="613" t="s">
        <v>183</v>
      </c>
      <c r="G8" s="613" t="s">
        <v>351</v>
      </c>
      <c r="H8" s="613" t="s">
        <v>352</v>
      </c>
      <c r="I8" s="612" t="s">
        <v>184</v>
      </c>
      <c r="J8" s="612" t="s">
        <v>353</v>
      </c>
      <c r="K8" s="612" t="s">
        <v>354</v>
      </c>
      <c r="L8" s="179"/>
      <c r="M8" s="179"/>
      <c r="N8" s="179"/>
      <c r="O8" s="179"/>
      <c r="P8" s="179"/>
      <c r="Q8" s="179"/>
      <c r="R8" s="179"/>
      <c r="S8" s="179"/>
      <c r="T8" s="179"/>
      <c r="U8" s="179"/>
      <c r="V8" s="179"/>
      <c r="W8" s="179"/>
      <c r="X8" s="179"/>
      <c r="Y8" s="179"/>
      <c r="Z8" s="179"/>
      <c r="AA8" s="179"/>
      <c r="AB8" s="179"/>
      <c r="AC8" s="179"/>
      <c r="AD8" s="179"/>
      <c r="AE8" s="179"/>
      <c r="AF8" s="179"/>
      <c r="AG8" s="179"/>
      <c r="AH8" s="179"/>
      <c r="AI8" s="179"/>
      <c r="AJ8" s="179"/>
      <c r="AK8" s="179"/>
      <c r="AL8" s="179"/>
      <c r="AM8" s="179"/>
      <c r="AN8" s="179"/>
      <c r="AO8" s="179"/>
      <c r="AP8" s="179"/>
      <c r="AQ8" s="179"/>
      <c r="AR8" s="179"/>
      <c r="AS8" s="179"/>
      <c r="AT8" s="179"/>
      <c r="AU8" s="179"/>
      <c r="AV8" s="179"/>
      <c r="AW8" s="179"/>
      <c r="AX8" s="179"/>
      <c r="AY8" s="179"/>
      <c r="AZ8" s="179"/>
      <c r="BA8" s="179"/>
      <c r="BB8" s="179"/>
      <c r="BC8" s="179"/>
      <c r="BD8" s="179"/>
      <c r="BE8" s="179"/>
      <c r="BF8" s="179"/>
      <c r="BG8" s="179"/>
      <c r="BH8" s="179"/>
      <c r="BI8" s="179"/>
      <c r="BJ8" s="179"/>
      <c r="BK8" s="179"/>
      <c r="BL8" s="179"/>
      <c r="BM8" s="179"/>
      <c r="BN8" s="179"/>
      <c r="BO8" s="179"/>
      <c r="BP8" s="179"/>
      <c r="BQ8" s="179"/>
      <c r="BR8" s="179"/>
      <c r="BS8" s="179"/>
      <c r="BT8" s="179"/>
      <c r="BU8" s="179"/>
      <c r="BV8" s="179"/>
      <c r="BW8" s="179"/>
      <c r="BX8" s="179"/>
      <c r="BY8" s="179"/>
      <c r="BZ8" s="179"/>
      <c r="CA8" s="179"/>
      <c r="CB8" s="179"/>
      <c r="CC8" s="179"/>
      <c r="CD8" s="179"/>
      <c r="CE8" s="179"/>
      <c r="CF8" s="179"/>
      <c r="CG8" s="179"/>
      <c r="CH8" s="179"/>
      <c r="CI8" s="179"/>
      <c r="CJ8" s="179"/>
      <c r="CK8" s="179"/>
      <c r="CL8" s="179"/>
      <c r="CM8" s="179"/>
      <c r="CN8" s="179"/>
      <c r="CO8" s="179"/>
      <c r="CP8" s="179"/>
      <c r="CQ8" s="179"/>
      <c r="CR8" s="179"/>
      <c r="CS8" s="179"/>
      <c r="CT8" s="179"/>
      <c r="CU8" s="179"/>
      <c r="CV8" s="179"/>
      <c r="CW8" s="179"/>
      <c r="CX8" s="179"/>
      <c r="CY8" s="179"/>
      <c r="CZ8" s="179"/>
      <c r="DA8" s="179"/>
      <c r="DB8" s="179"/>
      <c r="DC8" s="179"/>
      <c r="DD8" s="179"/>
      <c r="DE8" s="179"/>
      <c r="DF8" s="179"/>
      <c r="DG8" s="179"/>
      <c r="DH8" s="179"/>
      <c r="DI8" s="179"/>
      <c r="DJ8" s="179"/>
      <c r="DK8" s="179"/>
      <c r="DL8" s="179"/>
      <c r="DM8" s="179"/>
      <c r="DN8" s="179"/>
      <c r="DO8" s="179"/>
      <c r="DP8" s="179"/>
      <c r="DQ8" s="179"/>
      <c r="DR8" s="179"/>
      <c r="DS8" s="179"/>
      <c r="DT8" s="179"/>
      <c r="DU8" s="179"/>
      <c r="DV8" s="179"/>
      <c r="DW8" s="179"/>
      <c r="DX8" s="179"/>
      <c r="DY8" s="179"/>
      <c r="DZ8" s="179"/>
      <c r="EA8" s="179"/>
      <c r="EB8" s="179"/>
      <c r="EC8" s="179"/>
      <c r="ED8" s="179"/>
      <c r="EE8" s="179"/>
      <c r="EF8" s="179"/>
      <c r="EG8" s="179"/>
      <c r="EH8" s="179"/>
      <c r="EI8" s="179"/>
      <c r="EJ8" s="179"/>
      <c r="EK8" s="179"/>
      <c r="EL8" s="179"/>
      <c r="EM8" s="179"/>
      <c r="EN8" s="179"/>
      <c r="EO8" s="179"/>
      <c r="EP8" s="179"/>
      <c r="EQ8" s="179"/>
      <c r="ER8" s="179"/>
      <c r="ES8" s="179"/>
      <c r="ET8" s="179"/>
      <c r="EU8" s="179"/>
      <c r="EV8" s="179"/>
      <c r="EW8" s="179"/>
      <c r="EX8" s="179"/>
      <c r="EY8" s="179"/>
      <c r="EZ8" s="179"/>
      <c r="FA8" s="179"/>
      <c r="FB8" s="179"/>
      <c r="FC8" s="179"/>
      <c r="FD8" s="179"/>
      <c r="FE8" s="179"/>
      <c r="FF8" s="179"/>
      <c r="FG8" s="179"/>
      <c r="FH8" s="179"/>
      <c r="FI8" s="179"/>
      <c r="FJ8" s="179"/>
      <c r="FK8" s="179"/>
      <c r="FL8" s="179"/>
      <c r="FM8" s="179"/>
      <c r="FN8" s="179"/>
      <c r="FO8" s="179"/>
      <c r="FP8" s="179"/>
      <c r="FQ8" s="179"/>
      <c r="FR8" s="179"/>
      <c r="FS8" s="179"/>
      <c r="FT8" s="179"/>
      <c r="FU8" s="179"/>
      <c r="FV8" s="179"/>
      <c r="FW8" s="179"/>
      <c r="FX8" s="179"/>
      <c r="FY8" s="179"/>
      <c r="FZ8" s="179"/>
      <c r="GA8" s="179"/>
      <c r="GB8" s="179"/>
      <c r="GC8" s="179"/>
      <c r="GD8" s="179"/>
      <c r="GE8" s="179"/>
      <c r="GF8" s="179"/>
      <c r="GG8" s="179"/>
      <c r="GH8" s="179"/>
      <c r="GI8" s="179"/>
      <c r="GJ8" s="179"/>
      <c r="GK8" s="179"/>
      <c r="GL8" s="179"/>
      <c r="GM8" s="179"/>
      <c r="GN8" s="179"/>
      <c r="GO8" s="179"/>
      <c r="GP8" s="179"/>
      <c r="GQ8" s="179"/>
      <c r="GR8" s="179"/>
      <c r="GS8" s="179"/>
      <c r="GT8" s="179"/>
      <c r="GU8" s="179"/>
      <c r="GV8" s="179"/>
      <c r="GW8" s="179"/>
      <c r="GX8" s="179"/>
      <c r="GY8" s="179"/>
      <c r="GZ8" s="179"/>
      <c r="HA8" s="179"/>
      <c r="HB8" s="179"/>
      <c r="HC8" s="179"/>
      <c r="HD8" s="179"/>
      <c r="HE8" s="179"/>
      <c r="HF8" s="179"/>
      <c r="HG8" s="179"/>
      <c r="HH8" s="179"/>
      <c r="HI8" s="179"/>
      <c r="HJ8" s="179"/>
      <c r="HK8" s="179"/>
      <c r="HL8" s="179"/>
      <c r="HM8" s="179"/>
      <c r="HN8" s="179"/>
      <c r="HO8" s="179"/>
      <c r="HP8" s="179"/>
      <c r="HQ8" s="179"/>
      <c r="HR8" s="179"/>
      <c r="HS8" s="179"/>
      <c r="HT8" s="179"/>
      <c r="HU8" s="179"/>
      <c r="HV8" s="179"/>
      <c r="HW8" s="179"/>
      <c r="HX8" s="179"/>
      <c r="HY8" s="179"/>
      <c r="HZ8" s="179"/>
      <c r="IA8" s="179"/>
      <c r="IB8" s="179"/>
      <c r="IC8" s="179"/>
      <c r="ID8" s="179"/>
      <c r="IE8" s="179"/>
      <c r="IF8" s="179"/>
      <c r="IG8" s="179"/>
      <c r="IH8" s="179"/>
      <c r="II8" s="179"/>
      <c r="IJ8" s="179"/>
      <c r="IK8" s="179"/>
      <c r="IL8" s="179"/>
      <c r="IM8" s="179"/>
      <c r="IN8" s="179"/>
      <c r="IO8" s="179"/>
      <c r="IP8" s="179"/>
      <c r="IQ8" s="179"/>
      <c r="IR8" s="179"/>
      <c r="IS8" s="179"/>
      <c r="IT8" s="179"/>
    </row>
    <row r="9" spans="1:254" ht="16.5" thickTop="1" x14ac:dyDescent="0.25">
      <c r="A9" s="184" t="s">
        <v>28</v>
      </c>
      <c r="B9" s="184" t="s">
        <v>154</v>
      </c>
      <c r="C9" s="119">
        <v>362150</v>
      </c>
      <c r="D9" s="119">
        <v>-946</v>
      </c>
      <c r="E9" s="119">
        <f>SUM(C9:D9)</f>
        <v>361204</v>
      </c>
      <c r="F9" s="119">
        <v>8556688</v>
      </c>
      <c r="G9" s="119">
        <v>42019</v>
      </c>
      <c r="H9" s="119">
        <f>SUM(F9:G9)</f>
        <v>8598707</v>
      </c>
      <c r="I9" s="220">
        <f>SUM(C9+F9)</f>
        <v>8918838</v>
      </c>
      <c r="J9" s="220">
        <f t="shared" ref="J9:K13" si="0">SUM(D9+G9)</f>
        <v>41073</v>
      </c>
      <c r="K9" s="220">
        <f t="shared" si="0"/>
        <v>8959911</v>
      </c>
    </row>
    <row r="10" spans="1:254" ht="31.5" x14ac:dyDescent="0.25">
      <c r="A10" s="192" t="s">
        <v>29</v>
      </c>
      <c r="B10" s="192" t="s">
        <v>155</v>
      </c>
      <c r="C10" s="114">
        <v>95357</v>
      </c>
      <c r="D10" s="114">
        <v>-901</v>
      </c>
      <c r="E10" s="114">
        <f t="shared" ref="E10:E13" si="1">SUM(C10:D10)</f>
        <v>94456</v>
      </c>
      <c r="F10" s="114">
        <v>1546280</v>
      </c>
      <c r="G10" s="114">
        <v>4048</v>
      </c>
      <c r="H10" s="114">
        <f>SUM(F10:G10)</f>
        <v>1550328</v>
      </c>
      <c r="I10" s="61">
        <f>SUM(C10+F10)</f>
        <v>1641637</v>
      </c>
      <c r="J10" s="61">
        <f t="shared" si="0"/>
        <v>3147</v>
      </c>
      <c r="K10" s="61">
        <f t="shared" si="0"/>
        <v>1644784</v>
      </c>
    </row>
    <row r="11" spans="1:254" x14ac:dyDescent="0.25">
      <c r="A11" s="43" t="s">
        <v>30</v>
      </c>
      <c r="B11" s="43" t="s">
        <v>156</v>
      </c>
      <c r="C11" s="114">
        <v>9863140</v>
      </c>
      <c r="D11" s="114">
        <v>-95360</v>
      </c>
      <c r="E11" s="114">
        <f t="shared" si="1"/>
        <v>9767780</v>
      </c>
      <c r="F11" s="114">
        <v>4532764</v>
      </c>
      <c r="G11" s="114">
        <v>133231</v>
      </c>
      <c r="H11" s="114">
        <f t="shared" ref="H11:H17" si="2">SUM(F11:G11)</f>
        <v>4665995</v>
      </c>
      <c r="I11" s="61">
        <f>SUM(C11+F11)</f>
        <v>14395904</v>
      </c>
      <c r="J11" s="61">
        <f t="shared" si="0"/>
        <v>37871</v>
      </c>
      <c r="K11" s="61">
        <f t="shared" si="0"/>
        <v>14433775</v>
      </c>
    </row>
    <row r="12" spans="1:254" x14ac:dyDescent="0.25">
      <c r="A12" s="43" t="s">
        <v>453</v>
      </c>
      <c r="B12" s="43" t="s">
        <v>157</v>
      </c>
      <c r="C12" s="114">
        <v>220983</v>
      </c>
      <c r="D12" s="114"/>
      <c r="E12" s="114">
        <f t="shared" si="1"/>
        <v>220983</v>
      </c>
      <c r="F12" s="114">
        <v>11588</v>
      </c>
      <c r="G12" s="114">
        <v>12630</v>
      </c>
      <c r="H12" s="114">
        <f t="shared" si="2"/>
        <v>24218</v>
      </c>
      <c r="I12" s="61">
        <f>SUM(C12+F12)</f>
        <v>232571</v>
      </c>
      <c r="J12" s="61">
        <f t="shared" si="0"/>
        <v>12630</v>
      </c>
      <c r="K12" s="61">
        <f t="shared" si="0"/>
        <v>245201</v>
      </c>
    </row>
    <row r="13" spans="1:254" ht="31.5" x14ac:dyDescent="0.25">
      <c r="A13" s="192" t="s">
        <v>178</v>
      </c>
      <c r="B13" s="192" t="s">
        <v>313</v>
      </c>
      <c r="C13" s="114">
        <v>12417664</v>
      </c>
      <c r="D13" s="119">
        <v>2016</v>
      </c>
      <c r="E13" s="114">
        <f t="shared" si="1"/>
        <v>12419680</v>
      </c>
      <c r="F13" s="119">
        <v>81805</v>
      </c>
      <c r="G13" s="119">
        <v>1</v>
      </c>
      <c r="H13" s="114">
        <f t="shared" si="2"/>
        <v>81806</v>
      </c>
      <c r="I13" s="61">
        <f>SUM(C13+F13)</f>
        <v>12499469</v>
      </c>
      <c r="J13" s="61">
        <f t="shared" si="0"/>
        <v>2017</v>
      </c>
      <c r="K13" s="61">
        <f t="shared" si="0"/>
        <v>12501486</v>
      </c>
    </row>
    <row r="14" spans="1:254" ht="31.5" x14ac:dyDescent="0.25">
      <c r="A14" s="199" t="s">
        <v>339</v>
      </c>
      <c r="B14" s="200"/>
      <c r="C14" s="120">
        <f>SUM(C9+C10+C11+C12+C13)</f>
        <v>22959294</v>
      </c>
      <c r="D14" s="120">
        <f t="shared" ref="D14:E14" si="3">SUM(D9+D10+D11+D12+D13)</f>
        <v>-95191</v>
      </c>
      <c r="E14" s="120">
        <f t="shared" si="3"/>
        <v>22864103</v>
      </c>
      <c r="F14" s="120">
        <f>SUM(F9+F10+F11+F12+F13)</f>
        <v>14729125</v>
      </c>
      <c r="G14" s="120">
        <f t="shared" ref="G14:H14" si="4">SUM(G9+G10+G11+G12+G13)</f>
        <v>191929</v>
      </c>
      <c r="H14" s="120">
        <f t="shared" si="4"/>
        <v>14921054</v>
      </c>
      <c r="I14" s="120">
        <f>SUM(I9:I12,I13)</f>
        <v>37688419</v>
      </c>
      <c r="J14" s="120">
        <f t="shared" ref="J14:K14" si="5">SUM(J9:J12,J13)</f>
        <v>96738</v>
      </c>
      <c r="K14" s="120">
        <f t="shared" si="5"/>
        <v>37785157</v>
      </c>
    </row>
    <row r="15" spans="1:254" x14ac:dyDescent="0.25">
      <c r="A15" s="43" t="s">
        <v>161</v>
      </c>
      <c r="B15" s="43" t="s">
        <v>158</v>
      </c>
      <c r="C15" s="44">
        <v>23361921</v>
      </c>
      <c r="D15" s="44">
        <v>95881</v>
      </c>
      <c r="E15" s="44">
        <f>SUM(C15:D15)</f>
        <v>23457802</v>
      </c>
      <c r="F15" s="44">
        <v>347159</v>
      </c>
      <c r="G15" s="44">
        <v>53480</v>
      </c>
      <c r="H15" s="44">
        <f t="shared" si="2"/>
        <v>400639</v>
      </c>
      <c r="I15" s="61">
        <f>SUM(C15+F15)</f>
        <v>23709080</v>
      </c>
      <c r="J15" s="61">
        <f t="shared" ref="J15:K17" si="6">SUM(D15+G15)</f>
        <v>149361</v>
      </c>
      <c r="K15" s="61">
        <f t="shared" si="6"/>
        <v>23858441</v>
      </c>
    </row>
    <row r="16" spans="1:254" x14ac:dyDescent="0.25">
      <c r="A16" s="43" t="s">
        <v>162</v>
      </c>
      <c r="B16" s="43" t="s">
        <v>159</v>
      </c>
      <c r="C16" s="44">
        <v>351447</v>
      </c>
      <c r="D16" s="44"/>
      <c r="E16" s="44">
        <f>SUM(C16:D16)</f>
        <v>351447</v>
      </c>
      <c r="F16" s="44">
        <v>11380</v>
      </c>
      <c r="G16" s="44">
        <v>10582</v>
      </c>
      <c r="H16" s="44">
        <f t="shared" si="2"/>
        <v>21962</v>
      </c>
      <c r="I16" s="61">
        <f>SUM(C16+F16)</f>
        <v>362827</v>
      </c>
      <c r="J16" s="61">
        <f t="shared" si="6"/>
        <v>10582</v>
      </c>
      <c r="K16" s="61">
        <f t="shared" si="6"/>
        <v>373409</v>
      </c>
    </row>
    <row r="17" spans="1:254" x14ac:dyDescent="0.25">
      <c r="A17" s="43" t="s">
        <v>266</v>
      </c>
      <c r="B17" s="43" t="s">
        <v>160</v>
      </c>
      <c r="C17" s="44">
        <v>2683833</v>
      </c>
      <c r="D17" s="44">
        <v>100</v>
      </c>
      <c r="E17" s="44">
        <f>SUM(C17:D17)</f>
        <v>2683933</v>
      </c>
      <c r="F17" s="44">
        <v>0</v>
      </c>
      <c r="G17" s="44">
        <v>0</v>
      </c>
      <c r="H17" s="44">
        <f t="shared" si="2"/>
        <v>0</v>
      </c>
      <c r="I17" s="61">
        <f>SUM(C17+F17)</f>
        <v>2683833</v>
      </c>
      <c r="J17" s="61">
        <f t="shared" si="6"/>
        <v>100</v>
      </c>
      <c r="K17" s="61">
        <f t="shared" si="6"/>
        <v>2683933</v>
      </c>
    </row>
    <row r="18" spans="1:254" ht="31.5" x14ac:dyDescent="0.25">
      <c r="A18" s="199" t="s">
        <v>340</v>
      </c>
      <c r="B18" s="201"/>
      <c r="C18" s="121">
        <f>SUM(C15:C17)</f>
        <v>26397201</v>
      </c>
      <c r="D18" s="121">
        <f t="shared" ref="D18:E18" si="7">SUM(D15:D17)</f>
        <v>95981</v>
      </c>
      <c r="E18" s="121">
        <f t="shared" si="7"/>
        <v>26493182</v>
      </c>
      <c r="F18" s="120">
        <f>SUM(F15:F17)</f>
        <v>358539</v>
      </c>
      <c r="G18" s="120">
        <f t="shared" ref="G18:H18" si="8">SUM(G15:G17)</f>
        <v>64062</v>
      </c>
      <c r="H18" s="120">
        <f t="shared" si="8"/>
        <v>422601</v>
      </c>
      <c r="I18" s="120">
        <f>SUM(I15:I17)</f>
        <v>26755740</v>
      </c>
      <c r="J18" s="120">
        <f t="shared" ref="J18:K18" si="9">SUM(J15:J17)</f>
        <v>160043</v>
      </c>
      <c r="K18" s="120">
        <f t="shared" si="9"/>
        <v>26915783</v>
      </c>
    </row>
    <row r="19" spans="1:254" x14ac:dyDescent="0.25">
      <c r="A19" s="43" t="s">
        <v>205</v>
      </c>
      <c r="B19" s="43"/>
      <c r="C19" s="44">
        <v>221850</v>
      </c>
      <c r="D19" s="44">
        <v>0</v>
      </c>
      <c r="E19" s="44">
        <f>SUM(C19:D19)</f>
        <v>221850</v>
      </c>
      <c r="F19" s="44">
        <v>0</v>
      </c>
      <c r="G19" s="44">
        <v>0</v>
      </c>
      <c r="H19" s="44">
        <f>SUM(F19:G19)</f>
        <v>0</v>
      </c>
      <c r="I19" s="61">
        <f>SUM(C19+F19)</f>
        <v>221850</v>
      </c>
      <c r="J19" s="61">
        <f t="shared" ref="J19:K20" si="10">SUM(D19+G19)</f>
        <v>0</v>
      </c>
      <c r="K19" s="61">
        <f t="shared" si="10"/>
        <v>221850</v>
      </c>
    </row>
    <row r="20" spans="1:254" x14ac:dyDescent="0.25">
      <c r="A20" s="43" t="s">
        <v>206</v>
      </c>
      <c r="B20" s="50"/>
      <c r="C20" s="44">
        <v>4194154</v>
      </c>
      <c r="D20" s="44">
        <v>1511246</v>
      </c>
      <c r="E20" s="44">
        <f>SUM(C20:D20)</f>
        <v>5705400</v>
      </c>
      <c r="F20" s="44">
        <v>0</v>
      </c>
      <c r="G20" s="44">
        <v>0</v>
      </c>
      <c r="H20" s="44">
        <f>SUM(F20:G20)</f>
        <v>0</v>
      </c>
      <c r="I20" s="61">
        <f>SUM(C20+F20)</f>
        <v>4194154</v>
      </c>
      <c r="J20" s="61">
        <f t="shared" si="10"/>
        <v>1511246</v>
      </c>
      <c r="K20" s="61">
        <f t="shared" si="10"/>
        <v>5705400</v>
      </c>
    </row>
    <row r="21" spans="1:254" s="49" customFormat="1" ht="16.5" thickBot="1" x14ac:dyDescent="0.3">
      <c r="A21" s="46" t="s">
        <v>207</v>
      </c>
      <c r="B21" s="51" t="s">
        <v>314</v>
      </c>
      <c r="C21" s="47">
        <f>SUM(C19:C20)</f>
        <v>4416004</v>
      </c>
      <c r="D21" s="47">
        <f t="shared" ref="D21:E21" si="11">SUM(D19:D20)</f>
        <v>1511246</v>
      </c>
      <c r="E21" s="47">
        <f t="shared" si="11"/>
        <v>5927250</v>
      </c>
      <c r="F21" s="47">
        <f>SUM(F19:F20)</f>
        <v>0</v>
      </c>
      <c r="G21" s="47">
        <f t="shared" ref="G21:H21" si="12">SUM(G19:G20)</f>
        <v>0</v>
      </c>
      <c r="H21" s="47">
        <f t="shared" si="12"/>
        <v>0</v>
      </c>
      <c r="I21" s="63">
        <f>SUM(I19:I20)</f>
        <v>4416004</v>
      </c>
      <c r="J21" s="63">
        <f t="shared" ref="J21:K21" si="13">SUM(J19:J20)</f>
        <v>1511246</v>
      </c>
      <c r="K21" s="63">
        <f t="shared" si="13"/>
        <v>5927250</v>
      </c>
      <c r="L21" s="48"/>
      <c r="M21" s="582"/>
      <c r="N21" s="582"/>
      <c r="O21" s="48"/>
      <c r="P21" s="48"/>
      <c r="Q21" s="48"/>
      <c r="R21" s="48"/>
      <c r="S21" s="48"/>
      <c r="T21" s="48"/>
      <c r="U21" s="48"/>
      <c r="V21" s="48"/>
      <c r="W21" s="48"/>
      <c r="X21" s="48"/>
      <c r="Y21" s="48"/>
      <c r="Z21" s="48"/>
      <c r="AA21" s="48"/>
      <c r="AB21" s="48"/>
      <c r="AC21" s="48"/>
      <c r="AD21" s="48"/>
      <c r="AE21" s="48"/>
      <c r="AF21" s="48"/>
      <c r="AG21" s="48"/>
      <c r="AH21" s="48"/>
      <c r="AI21" s="48"/>
      <c r="AJ21" s="48"/>
      <c r="AK21" s="48"/>
      <c r="AL21" s="48"/>
      <c r="AM21" s="48"/>
      <c r="AN21" s="48"/>
      <c r="AO21" s="48"/>
      <c r="AP21" s="48"/>
      <c r="AQ21" s="48"/>
      <c r="AR21" s="48"/>
      <c r="AS21" s="48"/>
      <c r="AT21" s="48"/>
      <c r="AU21" s="48"/>
      <c r="AV21" s="48"/>
      <c r="AW21" s="48"/>
      <c r="AX21" s="48"/>
      <c r="AY21" s="48"/>
      <c r="AZ21" s="48"/>
      <c r="BA21" s="48"/>
      <c r="BB21" s="48"/>
      <c r="BC21" s="48"/>
      <c r="BD21" s="48"/>
      <c r="BE21" s="48"/>
      <c r="BF21" s="48"/>
      <c r="BG21" s="48"/>
      <c r="BH21" s="48"/>
      <c r="BI21" s="48"/>
      <c r="BJ21" s="48"/>
      <c r="BK21" s="48"/>
      <c r="BL21" s="48"/>
      <c r="BM21" s="48"/>
      <c r="BN21" s="48"/>
      <c r="BO21" s="48"/>
      <c r="BP21" s="48"/>
      <c r="BQ21" s="48"/>
      <c r="BR21" s="48"/>
      <c r="BS21" s="48"/>
      <c r="BT21" s="48"/>
      <c r="BU21" s="48"/>
      <c r="BV21" s="48"/>
      <c r="BW21" s="48"/>
      <c r="BX21" s="48"/>
      <c r="BY21" s="48"/>
      <c r="BZ21" s="48"/>
      <c r="CA21" s="48"/>
      <c r="CB21" s="48"/>
      <c r="CC21" s="48"/>
      <c r="CD21" s="48"/>
      <c r="CE21" s="48"/>
      <c r="CF21" s="48"/>
      <c r="CG21" s="48"/>
      <c r="CH21" s="48"/>
      <c r="CI21" s="48"/>
      <c r="CJ21" s="48"/>
      <c r="CK21" s="48"/>
      <c r="CL21" s="48"/>
      <c r="CM21" s="48"/>
      <c r="CN21" s="48"/>
      <c r="CO21" s="48"/>
      <c r="CP21" s="48"/>
      <c r="CQ21" s="48"/>
      <c r="CR21" s="48"/>
      <c r="CS21" s="48"/>
      <c r="CT21" s="48"/>
      <c r="CU21" s="48"/>
      <c r="CV21" s="48"/>
      <c r="CW21" s="48"/>
      <c r="CX21" s="48"/>
      <c r="CY21" s="48"/>
      <c r="CZ21" s="48"/>
      <c r="DA21" s="48"/>
      <c r="DB21" s="48"/>
      <c r="DC21" s="48"/>
      <c r="DD21" s="48"/>
      <c r="DE21" s="48"/>
      <c r="DF21" s="48"/>
      <c r="DG21" s="48"/>
      <c r="DH21" s="48"/>
      <c r="DI21" s="48"/>
      <c r="DJ21" s="48"/>
      <c r="DK21" s="48"/>
      <c r="DL21" s="48"/>
      <c r="DM21" s="48"/>
      <c r="DN21" s="48"/>
      <c r="DO21" s="48"/>
      <c r="DP21" s="48"/>
      <c r="DQ21" s="48"/>
      <c r="DR21" s="48"/>
      <c r="DS21" s="48"/>
      <c r="DT21" s="48"/>
      <c r="DU21" s="48"/>
      <c r="DV21" s="48"/>
      <c r="DW21" s="48"/>
      <c r="DX21" s="48"/>
      <c r="DY21" s="48"/>
      <c r="DZ21" s="48"/>
      <c r="EA21" s="48"/>
      <c r="EB21" s="48"/>
      <c r="EC21" s="48"/>
      <c r="ED21" s="48"/>
      <c r="EE21" s="48"/>
      <c r="EF21" s="48"/>
      <c r="EG21" s="48"/>
      <c r="EH21" s="48"/>
      <c r="EI21" s="48"/>
      <c r="EJ21" s="48"/>
      <c r="EK21" s="48"/>
      <c r="EL21" s="48"/>
      <c r="EM21" s="48"/>
      <c r="EN21" s="48"/>
      <c r="EO21" s="48"/>
      <c r="EP21" s="48"/>
      <c r="EQ21" s="48"/>
      <c r="ER21" s="48"/>
      <c r="ES21" s="48"/>
      <c r="ET21" s="48"/>
      <c r="EU21" s="48"/>
      <c r="EV21" s="48"/>
      <c r="EW21" s="48"/>
      <c r="EX21" s="48"/>
      <c r="EY21" s="48"/>
      <c r="EZ21" s="48"/>
      <c r="FA21" s="48"/>
      <c r="FB21" s="48"/>
      <c r="FC21" s="48"/>
      <c r="FD21" s="48"/>
      <c r="FE21" s="48"/>
      <c r="FF21" s="48"/>
      <c r="FG21" s="48"/>
      <c r="FH21" s="48"/>
      <c r="FI21" s="48"/>
      <c r="FJ21" s="48"/>
      <c r="FK21" s="48"/>
      <c r="FL21" s="48"/>
      <c r="FM21" s="48"/>
      <c r="FN21" s="48"/>
      <c r="FO21" s="48"/>
      <c r="FP21" s="48"/>
      <c r="FQ21" s="48"/>
      <c r="FR21" s="48"/>
      <c r="FS21" s="48"/>
      <c r="FT21" s="48"/>
      <c r="FU21" s="48"/>
      <c r="FV21" s="48"/>
      <c r="FW21" s="48"/>
      <c r="FX21" s="48"/>
      <c r="FY21" s="48"/>
      <c r="FZ21" s="48"/>
      <c r="GA21" s="48"/>
      <c r="GB21" s="48"/>
      <c r="GC21" s="48"/>
      <c r="GD21" s="48"/>
      <c r="GE21" s="48"/>
      <c r="GF21" s="48"/>
      <c r="GG21" s="48"/>
      <c r="GH21" s="48"/>
      <c r="GI21" s="48"/>
      <c r="GJ21" s="48"/>
      <c r="GK21" s="48"/>
      <c r="GL21" s="48"/>
      <c r="GM21" s="48"/>
      <c r="GN21" s="48"/>
      <c r="GO21" s="48"/>
      <c r="GP21" s="48"/>
      <c r="GQ21" s="48"/>
      <c r="GR21" s="48"/>
      <c r="GS21" s="48"/>
      <c r="GT21" s="48"/>
      <c r="GU21" s="48"/>
      <c r="GV21" s="48"/>
      <c r="GW21" s="48"/>
      <c r="GX21" s="48"/>
      <c r="GY21" s="48"/>
      <c r="GZ21" s="48"/>
      <c r="HA21" s="48"/>
      <c r="HB21" s="48"/>
      <c r="HC21" s="48"/>
      <c r="HD21" s="48"/>
      <c r="HE21" s="48"/>
      <c r="HF21" s="48"/>
      <c r="HG21" s="48"/>
      <c r="HH21" s="48"/>
      <c r="HI21" s="48"/>
      <c r="HJ21" s="48"/>
      <c r="HK21" s="48"/>
      <c r="HL21" s="48"/>
      <c r="HM21" s="48"/>
      <c r="HN21" s="48"/>
      <c r="HO21" s="48"/>
      <c r="HP21" s="48"/>
      <c r="HQ21" s="48"/>
      <c r="HR21" s="48"/>
      <c r="HS21" s="48"/>
      <c r="HT21" s="48"/>
      <c r="HU21" s="48"/>
      <c r="HV21" s="48"/>
      <c r="HW21" s="48"/>
      <c r="HX21" s="48"/>
      <c r="HY21" s="48"/>
      <c r="HZ21" s="48"/>
      <c r="IA21" s="48"/>
      <c r="IB21" s="48"/>
      <c r="IC21" s="48"/>
      <c r="ID21" s="48"/>
      <c r="IE21" s="48"/>
      <c r="IF21" s="48"/>
      <c r="IG21" s="48"/>
      <c r="IH21" s="48"/>
      <c r="II21" s="48"/>
      <c r="IJ21" s="48"/>
      <c r="IK21" s="48"/>
      <c r="IL21" s="48"/>
      <c r="IM21" s="48"/>
      <c r="IN21" s="48"/>
      <c r="IO21" s="48"/>
      <c r="IP21" s="48"/>
      <c r="IQ21" s="48"/>
      <c r="IR21" s="48"/>
      <c r="IS21" s="48"/>
      <c r="IT21" s="48"/>
    </row>
    <row r="22" spans="1:254" ht="17.25" thickTop="1" thickBot="1" x14ac:dyDescent="0.3">
      <c r="A22" s="109" t="s">
        <v>208</v>
      </c>
      <c r="B22" s="205" t="s">
        <v>271</v>
      </c>
      <c r="C22" s="111">
        <f>+C21+C18+C14</f>
        <v>53772499</v>
      </c>
      <c r="D22" s="111">
        <f t="shared" ref="D22:E22" si="14">+D21+D18+D14</f>
        <v>1512036</v>
      </c>
      <c r="E22" s="111">
        <f t="shared" si="14"/>
        <v>55284535</v>
      </c>
      <c r="F22" s="111">
        <f>+F21+F18+F14</f>
        <v>15087664</v>
      </c>
      <c r="G22" s="111">
        <f t="shared" ref="G22:H22" si="15">+G21+G18+G14</f>
        <v>255991</v>
      </c>
      <c r="H22" s="111">
        <f t="shared" si="15"/>
        <v>15343655</v>
      </c>
      <c r="I22" s="111">
        <f>+I21+I18+I14</f>
        <v>68860163</v>
      </c>
      <c r="J22" s="111">
        <f t="shared" ref="J22:K22" si="16">+J21+J18+J14</f>
        <v>1768027</v>
      </c>
      <c r="K22" s="111">
        <f t="shared" si="16"/>
        <v>70628190</v>
      </c>
      <c r="M22" s="116"/>
    </row>
    <row r="23" spans="1:254" ht="32.25" thickTop="1" x14ac:dyDescent="0.25">
      <c r="A23" s="387" t="s">
        <v>781</v>
      </c>
      <c r="B23" s="388" t="s">
        <v>454</v>
      </c>
      <c r="C23" s="389">
        <v>163966</v>
      </c>
      <c r="D23" s="589"/>
      <c r="E23" s="389">
        <f>SUM(C23:D23)</f>
        <v>163966</v>
      </c>
      <c r="F23" s="389"/>
      <c r="G23" s="389"/>
      <c r="H23" s="44">
        <f>SUM(F23:G23)</f>
        <v>0</v>
      </c>
      <c r="I23" s="394">
        <f>SUM(C23+F23)</f>
        <v>163966</v>
      </c>
      <c r="J23" s="394">
        <f t="shared" ref="J23:J24" si="17">SUM(D23+G23)</f>
        <v>0</v>
      </c>
      <c r="K23" s="389">
        <f t="shared" ref="K23" si="18">SUM(E23:H23)</f>
        <v>163966</v>
      </c>
      <c r="IS23" s="392"/>
      <c r="IT23" s="392"/>
    </row>
    <row r="24" spans="1:254" ht="16.5" thickBot="1" x14ac:dyDescent="0.3">
      <c r="A24" s="390" t="s">
        <v>779</v>
      </c>
      <c r="B24" s="391" t="s">
        <v>312</v>
      </c>
      <c r="C24" s="206">
        <v>11488789</v>
      </c>
      <c r="D24" s="206">
        <v>35354</v>
      </c>
      <c r="E24" s="206">
        <f>SUM(C24:D24)</f>
        <v>11524143</v>
      </c>
      <c r="F24" s="206"/>
      <c r="G24" s="206"/>
      <c r="H24" s="44">
        <f>SUM(F24:G24)</f>
        <v>0</v>
      </c>
      <c r="I24" s="394">
        <f>SUM(C24+F24)</f>
        <v>11488789</v>
      </c>
      <c r="J24" s="394">
        <f t="shared" si="17"/>
        <v>35354</v>
      </c>
      <c r="K24" s="389">
        <f t="shared" ref="K24" si="19">SUM(E24:H24)</f>
        <v>11524143</v>
      </c>
      <c r="IS24" s="392"/>
      <c r="IT24" s="392"/>
    </row>
    <row r="25" spans="1:254" ht="17.25" thickTop="1" thickBot="1" x14ac:dyDescent="0.3">
      <c r="A25" s="207" t="s">
        <v>780</v>
      </c>
      <c r="B25" s="208" t="s">
        <v>209</v>
      </c>
      <c r="C25" s="123">
        <f>SUM(C23:C24)</f>
        <v>11652755</v>
      </c>
      <c r="D25" s="123">
        <f>SUM(D23:D24)</f>
        <v>35354</v>
      </c>
      <c r="E25" s="123">
        <f>SUM(E23:E24)</f>
        <v>11688109</v>
      </c>
      <c r="F25" s="123">
        <f>SUM(F23:F23)</f>
        <v>0</v>
      </c>
      <c r="G25" s="123">
        <f>SUM(G23:G23)</f>
        <v>0</v>
      </c>
      <c r="H25" s="123">
        <f>SUM(H23:H23)</f>
        <v>0</v>
      </c>
      <c r="I25" s="123">
        <f>SUM(I23:I24)</f>
        <v>11652755</v>
      </c>
      <c r="J25" s="123">
        <f>SUM(J23:J24)</f>
        <v>35354</v>
      </c>
      <c r="K25" s="123">
        <f>SUM(K23:K24)</f>
        <v>11688109</v>
      </c>
      <c r="L25" s="395"/>
      <c r="M25" s="395"/>
      <c r="N25" s="395"/>
      <c r="O25" s="395"/>
      <c r="P25" s="395"/>
      <c r="Q25" s="395"/>
      <c r="R25" s="395"/>
      <c r="S25" s="395"/>
      <c r="T25" s="395"/>
      <c r="U25" s="395"/>
      <c r="V25" s="395"/>
      <c r="W25" s="395"/>
      <c r="X25" s="395"/>
      <c r="Y25" s="395"/>
      <c r="Z25" s="395"/>
      <c r="AA25" s="395"/>
      <c r="AB25" s="395"/>
      <c r="AC25" s="395"/>
      <c r="AD25" s="395"/>
      <c r="AE25" s="395"/>
      <c r="AF25" s="395"/>
      <c r="AG25" s="395"/>
      <c r="AH25" s="395"/>
      <c r="AI25" s="395"/>
      <c r="AJ25" s="395"/>
      <c r="AK25" s="395"/>
      <c r="AL25" s="395"/>
      <c r="AM25" s="395"/>
      <c r="AN25" s="395"/>
      <c r="AO25" s="395"/>
      <c r="AP25" s="395"/>
      <c r="AQ25" s="395"/>
      <c r="AR25" s="395"/>
      <c r="AS25" s="395"/>
      <c r="AT25" s="395"/>
      <c r="AU25" s="395"/>
      <c r="AV25" s="395"/>
      <c r="AW25" s="395"/>
      <c r="AX25" s="395"/>
      <c r="AY25" s="395"/>
      <c r="AZ25" s="395"/>
      <c r="BA25" s="395"/>
      <c r="BB25" s="395"/>
      <c r="BC25" s="395"/>
      <c r="BD25" s="395"/>
      <c r="BE25" s="395"/>
      <c r="BF25" s="395"/>
      <c r="BG25" s="395"/>
      <c r="BH25" s="395"/>
      <c r="BI25" s="395"/>
      <c r="BJ25" s="395"/>
      <c r="BK25" s="395"/>
      <c r="BL25" s="395"/>
      <c r="BM25" s="395"/>
      <c r="BN25" s="395"/>
      <c r="BO25" s="395"/>
      <c r="BP25" s="395"/>
      <c r="BQ25" s="395"/>
      <c r="BR25" s="395"/>
      <c r="BS25" s="395"/>
      <c r="BT25" s="395"/>
      <c r="BU25" s="395"/>
      <c r="BV25" s="395"/>
      <c r="BW25" s="395"/>
      <c r="BX25" s="395"/>
      <c r="BY25" s="395"/>
      <c r="BZ25" s="395"/>
      <c r="CA25" s="395"/>
      <c r="CB25" s="395"/>
      <c r="CC25" s="395"/>
      <c r="CD25" s="395"/>
      <c r="CE25" s="395"/>
      <c r="CF25" s="395"/>
      <c r="CG25" s="395"/>
      <c r="CH25" s="395"/>
      <c r="CI25" s="395"/>
      <c r="CJ25" s="395"/>
      <c r="CK25" s="395"/>
      <c r="CL25" s="395"/>
      <c r="CM25" s="395"/>
      <c r="CN25" s="395"/>
      <c r="CO25" s="395"/>
      <c r="CP25" s="395"/>
      <c r="CQ25" s="395"/>
      <c r="CR25" s="395"/>
      <c r="CS25" s="395"/>
      <c r="CT25" s="395"/>
      <c r="CU25" s="395"/>
      <c r="CV25" s="395"/>
      <c r="CW25" s="395"/>
      <c r="CX25" s="395"/>
      <c r="CY25" s="395"/>
      <c r="CZ25" s="395"/>
      <c r="DA25" s="395"/>
      <c r="DB25" s="395"/>
      <c r="DC25" s="395"/>
      <c r="DD25" s="395"/>
      <c r="DE25" s="395"/>
      <c r="DF25" s="395"/>
      <c r="DG25" s="395"/>
      <c r="DH25" s="395"/>
      <c r="DI25" s="395"/>
      <c r="DJ25" s="395"/>
      <c r="DK25" s="395"/>
      <c r="DL25" s="395"/>
      <c r="DM25" s="395"/>
      <c r="DN25" s="395"/>
      <c r="DO25" s="395"/>
      <c r="DP25" s="395"/>
      <c r="DQ25" s="395"/>
      <c r="DR25" s="395"/>
      <c r="DS25" s="395"/>
      <c r="DT25" s="395"/>
      <c r="DU25" s="395"/>
      <c r="DV25" s="395"/>
      <c r="DW25" s="395"/>
      <c r="DX25" s="395"/>
      <c r="DY25" s="395"/>
      <c r="DZ25" s="395"/>
      <c r="EA25" s="395"/>
      <c r="EB25" s="395"/>
      <c r="EC25" s="395"/>
      <c r="ED25" s="395"/>
      <c r="EE25" s="395"/>
      <c r="EF25" s="395"/>
      <c r="EG25" s="395"/>
      <c r="EH25" s="395"/>
      <c r="EI25" s="395"/>
      <c r="EJ25" s="395"/>
      <c r="EK25" s="395"/>
      <c r="EL25" s="395"/>
      <c r="EM25" s="395"/>
      <c r="EN25" s="395"/>
      <c r="EO25" s="395"/>
      <c r="EP25" s="395"/>
      <c r="EQ25" s="395"/>
      <c r="ER25" s="395"/>
      <c r="ES25" s="395"/>
      <c r="ET25" s="395"/>
      <c r="EU25" s="395"/>
      <c r="EV25" s="395"/>
      <c r="EW25" s="395"/>
      <c r="EX25" s="395"/>
      <c r="EY25" s="395"/>
      <c r="EZ25" s="395"/>
      <c r="FA25" s="395"/>
      <c r="FB25" s="395"/>
      <c r="FC25" s="395"/>
      <c r="FD25" s="395"/>
      <c r="FE25" s="395"/>
      <c r="FF25" s="395"/>
      <c r="FG25" s="395"/>
      <c r="FH25" s="395"/>
      <c r="FI25" s="395"/>
      <c r="FJ25" s="395"/>
      <c r="FK25" s="395"/>
      <c r="FL25" s="395"/>
      <c r="FM25" s="395"/>
      <c r="FN25" s="395"/>
      <c r="FO25" s="395"/>
      <c r="FP25" s="395"/>
      <c r="FQ25" s="395"/>
      <c r="FR25" s="395"/>
      <c r="FS25" s="395"/>
      <c r="FT25" s="395"/>
      <c r="FU25" s="395"/>
      <c r="FV25" s="395"/>
      <c r="FW25" s="395"/>
      <c r="FX25" s="395"/>
      <c r="FY25" s="395"/>
      <c r="FZ25" s="395"/>
      <c r="GA25" s="395"/>
      <c r="GB25" s="395"/>
      <c r="GC25" s="395"/>
      <c r="GD25" s="395"/>
      <c r="GE25" s="395"/>
      <c r="GF25" s="395"/>
      <c r="GG25" s="395"/>
      <c r="GH25" s="395"/>
      <c r="GI25" s="395"/>
      <c r="GJ25" s="395"/>
      <c r="GK25" s="395"/>
      <c r="GL25" s="395"/>
      <c r="GM25" s="395"/>
      <c r="GN25" s="395"/>
      <c r="GO25" s="395"/>
      <c r="GP25" s="395"/>
      <c r="GQ25" s="395"/>
      <c r="GR25" s="395"/>
      <c r="GS25" s="395"/>
      <c r="GT25" s="395"/>
      <c r="GU25" s="395"/>
      <c r="GV25" s="395"/>
      <c r="GW25" s="395"/>
      <c r="GX25" s="395"/>
      <c r="GY25" s="395"/>
      <c r="GZ25" s="395"/>
      <c r="HA25" s="395"/>
      <c r="HB25" s="395"/>
      <c r="HC25" s="395"/>
      <c r="HD25" s="395"/>
      <c r="HE25" s="395"/>
      <c r="HF25" s="395"/>
      <c r="HG25" s="395"/>
      <c r="HH25" s="395"/>
      <c r="HI25" s="395"/>
      <c r="HJ25" s="395"/>
      <c r="HK25" s="395"/>
      <c r="HL25" s="395"/>
      <c r="HM25" s="395"/>
      <c r="HN25" s="395"/>
      <c r="HO25" s="395"/>
      <c r="HP25" s="395"/>
      <c r="HQ25" s="395"/>
      <c r="HR25" s="395"/>
      <c r="HS25" s="395"/>
      <c r="HT25" s="395"/>
      <c r="HU25" s="395"/>
      <c r="HV25" s="395"/>
      <c r="HW25" s="395"/>
      <c r="HX25" s="395"/>
      <c r="HY25" s="395"/>
      <c r="HZ25" s="395"/>
      <c r="IA25" s="395"/>
      <c r="IB25" s="395"/>
      <c r="IC25" s="395"/>
      <c r="ID25" s="395"/>
      <c r="IE25" s="395"/>
      <c r="IF25" s="395"/>
      <c r="IG25" s="395"/>
      <c r="IH25" s="395"/>
      <c r="II25" s="395"/>
      <c r="IJ25" s="395"/>
      <c r="IK25" s="395"/>
      <c r="IL25" s="395"/>
      <c r="IM25" s="395"/>
      <c r="IN25" s="395"/>
      <c r="IO25" s="395"/>
      <c r="IP25" s="395"/>
      <c r="IQ25" s="395"/>
      <c r="IR25" s="395"/>
      <c r="IS25" s="392"/>
      <c r="IT25" s="392"/>
    </row>
    <row r="26" spans="1:254" ht="17.25" thickTop="1" thickBot="1" x14ac:dyDescent="0.3">
      <c r="A26" s="109" t="s">
        <v>336</v>
      </c>
      <c r="B26" s="110"/>
      <c r="C26" s="111"/>
      <c r="D26" s="111"/>
      <c r="E26" s="111"/>
      <c r="F26" s="112">
        <v>1928.68</v>
      </c>
      <c r="G26" s="112">
        <v>0</v>
      </c>
      <c r="H26" s="112">
        <f>SUM(F26:G26)</f>
        <v>1928.68</v>
      </c>
      <c r="I26" s="112">
        <f>F26</f>
        <v>1928.68</v>
      </c>
      <c r="J26" s="112">
        <f t="shared" ref="J26:K26" si="20">G26</f>
        <v>0</v>
      </c>
      <c r="K26" s="112">
        <f t="shared" si="20"/>
        <v>1928.68</v>
      </c>
      <c r="L26" s="113"/>
      <c r="M26" s="113"/>
      <c r="N26" s="113"/>
      <c r="O26" s="113"/>
      <c r="P26" s="113"/>
      <c r="Q26" s="113"/>
      <c r="R26" s="113"/>
      <c r="S26" s="113"/>
      <c r="T26" s="113"/>
      <c r="U26" s="113"/>
      <c r="V26" s="113"/>
      <c r="W26" s="113"/>
      <c r="X26" s="113"/>
      <c r="Y26" s="113"/>
      <c r="Z26" s="113"/>
      <c r="AA26" s="113"/>
      <c r="AB26" s="113"/>
      <c r="AC26" s="113"/>
      <c r="AD26" s="113"/>
      <c r="AE26" s="11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113"/>
      <c r="BD26" s="113"/>
      <c r="BE26" s="113"/>
      <c r="BF26" s="113"/>
      <c r="BG26" s="113"/>
      <c r="BH26" s="113"/>
      <c r="BI26" s="113"/>
      <c r="BJ26" s="113"/>
      <c r="BK26" s="113"/>
      <c r="BL26" s="113"/>
      <c r="BM26" s="113"/>
      <c r="BN26" s="113"/>
      <c r="BO26" s="113"/>
      <c r="BP26" s="113"/>
      <c r="BQ26" s="113"/>
      <c r="BR26" s="113"/>
      <c r="BS26" s="113"/>
      <c r="BT26" s="113"/>
      <c r="BU26" s="113"/>
      <c r="BV26" s="113"/>
      <c r="BW26" s="113"/>
      <c r="BX26" s="113"/>
      <c r="BY26" s="113"/>
      <c r="BZ26" s="113"/>
      <c r="CA26" s="113"/>
      <c r="CB26" s="113"/>
      <c r="CC26" s="113"/>
      <c r="CD26" s="113"/>
      <c r="CE26" s="113"/>
      <c r="CF26" s="113"/>
      <c r="CG26" s="113"/>
      <c r="CH26" s="113"/>
      <c r="CI26" s="113"/>
      <c r="CJ26" s="113"/>
      <c r="CK26" s="113"/>
      <c r="CL26" s="113"/>
      <c r="CM26" s="113"/>
      <c r="CN26" s="113"/>
      <c r="CO26" s="113"/>
      <c r="CP26" s="113"/>
      <c r="CQ26" s="113"/>
      <c r="CR26" s="113"/>
      <c r="CS26" s="113"/>
      <c r="CT26" s="113"/>
      <c r="CU26" s="113"/>
      <c r="CV26" s="113"/>
      <c r="CW26" s="113"/>
      <c r="CX26" s="113"/>
      <c r="CY26" s="113"/>
      <c r="CZ26" s="113"/>
      <c r="DA26" s="113"/>
      <c r="DB26" s="113"/>
      <c r="DC26" s="113"/>
      <c r="DD26" s="113"/>
      <c r="DE26" s="113"/>
      <c r="DF26" s="113"/>
      <c r="DG26" s="113"/>
      <c r="DH26" s="113"/>
      <c r="DI26" s="113"/>
      <c r="DJ26" s="113"/>
      <c r="DK26" s="113"/>
      <c r="DL26" s="113"/>
      <c r="DM26" s="113"/>
      <c r="DN26" s="113"/>
      <c r="DO26" s="113"/>
      <c r="DP26" s="113"/>
      <c r="DQ26" s="113"/>
      <c r="DR26" s="113"/>
      <c r="DS26" s="113"/>
      <c r="DT26" s="113"/>
      <c r="DU26" s="113"/>
      <c r="DV26" s="113"/>
      <c r="DW26" s="113"/>
      <c r="DX26" s="113"/>
      <c r="DY26" s="113"/>
      <c r="DZ26" s="113"/>
      <c r="EA26" s="113"/>
      <c r="EB26" s="113"/>
      <c r="EC26" s="113"/>
      <c r="ED26" s="113"/>
      <c r="EE26" s="113"/>
      <c r="EF26" s="113"/>
      <c r="EG26" s="113"/>
      <c r="EH26" s="113"/>
      <c r="EI26" s="113"/>
      <c r="EJ26" s="113"/>
      <c r="EK26" s="113"/>
      <c r="EL26" s="113"/>
      <c r="EM26" s="113"/>
      <c r="EN26" s="113"/>
      <c r="EO26" s="113"/>
      <c r="EP26" s="113"/>
      <c r="EQ26" s="113"/>
      <c r="ER26" s="113"/>
      <c r="ES26" s="113"/>
      <c r="ET26" s="113"/>
      <c r="EU26" s="113"/>
      <c r="EV26" s="113"/>
      <c r="EW26" s="113"/>
      <c r="EX26" s="113"/>
      <c r="EY26" s="113"/>
      <c r="EZ26" s="113"/>
      <c r="FA26" s="113"/>
      <c r="FB26" s="113"/>
      <c r="FC26" s="113"/>
      <c r="FD26" s="113"/>
      <c r="FE26" s="113"/>
      <c r="FF26" s="113"/>
      <c r="FG26" s="113"/>
      <c r="FH26" s="113"/>
      <c r="FI26" s="113"/>
      <c r="FJ26" s="113"/>
      <c r="FK26" s="113"/>
      <c r="FL26" s="113"/>
      <c r="FM26" s="113"/>
      <c r="FN26" s="113"/>
      <c r="FO26" s="113"/>
      <c r="FP26" s="113"/>
      <c r="FQ26" s="113"/>
      <c r="FR26" s="113"/>
      <c r="FS26" s="113"/>
      <c r="FT26" s="113"/>
      <c r="FU26" s="113"/>
      <c r="FV26" s="113"/>
      <c r="FW26" s="113"/>
      <c r="FX26" s="113"/>
      <c r="FY26" s="113"/>
      <c r="FZ26" s="113"/>
      <c r="GA26" s="113"/>
      <c r="GB26" s="113"/>
      <c r="GC26" s="113"/>
      <c r="GD26" s="113"/>
      <c r="GE26" s="113"/>
      <c r="GF26" s="113"/>
      <c r="GG26" s="113"/>
      <c r="GH26" s="113"/>
      <c r="GI26" s="113"/>
      <c r="GJ26" s="113"/>
      <c r="GK26" s="113"/>
      <c r="GL26" s="113"/>
      <c r="GM26" s="113"/>
      <c r="GN26" s="113"/>
      <c r="GO26" s="113"/>
      <c r="GP26" s="113"/>
      <c r="GQ26" s="113"/>
      <c r="GR26" s="113"/>
      <c r="GS26" s="113"/>
      <c r="GT26" s="113"/>
      <c r="GU26" s="113"/>
      <c r="GV26" s="113"/>
      <c r="GW26" s="113"/>
      <c r="GX26" s="113"/>
      <c r="GY26" s="113"/>
      <c r="GZ26" s="113"/>
      <c r="HA26" s="113"/>
      <c r="HB26" s="113"/>
      <c r="HC26" s="113"/>
      <c r="HD26" s="113"/>
      <c r="HE26" s="113"/>
      <c r="HF26" s="113"/>
      <c r="HG26" s="113"/>
      <c r="HH26" s="113"/>
      <c r="HI26" s="113"/>
      <c r="HJ26" s="113"/>
      <c r="HK26" s="113"/>
      <c r="HL26" s="113"/>
      <c r="HM26" s="113"/>
      <c r="HN26" s="113"/>
      <c r="HO26" s="113"/>
      <c r="HP26" s="113"/>
      <c r="HQ26" s="113"/>
      <c r="HR26" s="113"/>
      <c r="HS26" s="113"/>
      <c r="HT26" s="113"/>
      <c r="HU26" s="113"/>
      <c r="HV26" s="113"/>
      <c r="HW26" s="113"/>
      <c r="HX26" s="113"/>
      <c r="HY26" s="113"/>
      <c r="HZ26" s="113"/>
      <c r="IA26" s="113"/>
      <c r="IB26" s="113"/>
      <c r="IC26" s="113"/>
      <c r="ID26" s="113"/>
      <c r="IE26" s="113"/>
      <c r="IF26" s="113"/>
      <c r="IG26" s="113"/>
      <c r="IH26" s="113"/>
      <c r="II26" s="113"/>
      <c r="IJ26" s="113"/>
      <c r="IK26" s="113"/>
      <c r="IL26" s="113"/>
      <c r="IM26" s="113"/>
      <c r="IN26" s="113"/>
      <c r="IO26" s="113"/>
      <c r="IP26" s="113"/>
      <c r="IQ26" s="113"/>
      <c r="IR26" s="113"/>
      <c r="IS26" s="392"/>
      <c r="IT26" s="392"/>
    </row>
    <row r="27" spans="1:254" ht="16.5" thickTop="1" x14ac:dyDescent="0.25">
      <c r="A27" s="116"/>
      <c r="B27" s="116"/>
      <c r="C27" s="45"/>
      <c r="D27" s="45"/>
      <c r="E27" s="45"/>
      <c r="F27" s="45"/>
      <c r="G27" s="45"/>
      <c r="H27" s="45"/>
    </row>
    <row r="28" spans="1:254" x14ac:dyDescent="0.25">
      <c r="A28" s="116"/>
      <c r="B28" s="116"/>
      <c r="C28" s="45"/>
      <c r="D28" s="45"/>
      <c r="E28" s="45"/>
      <c r="F28" s="45"/>
      <c r="G28" s="45"/>
      <c r="H28" s="45"/>
    </row>
    <row r="29" spans="1:254" x14ac:dyDescent="0.25">
      <c r="A29" s="116"/>
      <c r="B29" s="116"/>
      <c r="C29" s="45"/>
      <c r="D29" s="45"/>
      <c r="E29" s="45"/>
      <c r="F29" s="45"/>
      <c r="G29" s="45"/>
      <c r="H29" s="45"/>
    </row>
    <row r="30" spans="1:254" x14ac:dyDescent="0.25">
      <c r="A30" s="116"/>
      <c r="B30" s="116"/>
      <c r="C30" s="45"/>
      <c r="D30" s="45"/>
      <c r="E30" s="45"/>
      <c r="F30" s="45"/>
      <c r="G30" s="45"/>
      <c r="H30" s="45"/>
    </row>
    <row r="31" spans="1:254" x14ac:dyDescent="0.25">
      <c r="A31" s="116"/>
      <c r="B31" s="116"/>
      <c r="C31" s="45"/>
      <c r="D31" s="45"/>
      <c r="E31" s="45"/>
      <c r="F31" s="45"/>
      <c r="G31" s="45"/>
      <c r="H31" s="45"/>
    </row>
    <row r="32" spans="1:254" x14ac:dyDescent="0.25">
      <c r="A32" s="116"/>
      <c r="B32" s="116"/>
      <c r="C32" s="45"/>
      <c r="D32" s="45"/>
      <c r="E32" s="45"/>
      <c r="F32" s="45"/>
      <c r="G32" s="45"/>
      <c r="H32" s="45"/>
    </row>
    <row r="33" spans="1:8" x14ac:dyDescent="0.25">
      <c r="A33" s="116"/>
      <c r="B33" s="116"/>
      <c r="C33" s="45"/>
      <c r="D33" s="45"/>
      <c r="E33" s="45"/>
      <c r="F33" s="45"/>
      <c r="G33" s="45"/>
      <c r="H33" s="45"/>
    </row>
    <row r="34" spans="1:8" x14ac:dyDescent="0.25">
      <c r="A34" s="116"/>
      <c r="B34" s="116"/>
      <c r="C34" s="45"/>
      <c r="D34" s="45"/>
      <c r="E34" s="45"/>
      <c r="F34" s="45"/>
      <c r="G34" s="45"/>
      <c r="H34" s="45"/>
    </row>
    <row r="35" spans="1:8" x14ac:dyDescent="0.25">
      <c r="A35" s="116"/>
      <c r="B35" s="116"/>
      <c r="C35" s="45"/>
      <c r="D35" s="45"/>
      <c r="E35" s="45"/>
      <c r="F35" s="45"/>
      <c r="G35" s="45"/>
      <c r="H35" s="45"/>
    </row>
    <row r="36" spans="1:8" x14ac:dyDescent="0.25">
      <c r="A36" s="24"/>
      <c r="B36" s="24"/>
      <c r="C36" s="45"/>
      <c r="D36" s="45"/>
      <c r="E36" s="45"/>
      <c r="F36" s="45"/>
      <c r="G36" s="45"/>
      <c r="H36" s="45"/>
    </row>
    <row r="37" spans="1:8" x14ac:dyDescent="0.25">
      <c r="C37" s="162"/>
      <c r="D37" s="162"/>
      <c r="E37" s="162"/>
    </row>
  </sheetData>
  <mergeCells count="8">
    <mergeCell ref="A1:K1"/>
    <mergeCell ref="A2:K2"/>
    <mergeCell ref="A3:K3"/>
    <mergeCell ref="A6:A7"/>
    <mergeCell ref="B6:B7"/>
    <mergeCell ref="C6:E6"/>
    <mergeCell ref="F6:H6"/>
    <mergeCell ref="I6:K6"/>
  </mergeCells>
  <pageMargins left="0.51181102362204722" right="0.51181102362204722" top="0.94488188976377963" bottom="0.74803149606299213" header="0.31496062992125984" footer="0.31496062992125984"/>
  <pageSetup paperSize="9" scale="71" orientation="landscape" r:id="rId1"/>
  <headerFooter>
    <oddHeader>&amp;R&amp;"Times New Roman CE,Félkövér"&amp;11 4. melléklet a 12/2021.(II.25.) önkormányzati rendelethez&amp;"Times New Roman CE,Dőlt"&amp;10
4. melléklet
az 5/2020.(II.17.) önkormányzati rendelethez</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21"/>
  <sheetViews>
    <sheetView tabSelected="1" workbookViewId="0">
      <selection activeCell="A4" sqref="A4"/>
    </sheetView>
  </sheetViews>
  <sheetFormatPr defaultColWidth="8.75" defaultRowHeight="15.75" x14ac:dyDescent="0.25"/>
  <cols>
    <col min="1" max="1" width="44.5" style="395" customWidth="1"/>
    <col min="2" max="2" width="14.25" style="113" customWidth="1"/>
    <col min="3" max="3" width="16.125" style="396" customWidth="1"/>
    <col min="4" max="16384" width="8.75" style="392"/>
  </cols>
  <sheetData>
    <row r="1" spans="1:3" x14ac:dyDescent="0.25">
      <c r="A1" s="965" t="s">
        <v>222</v>
      </c>
      <c r="B1" s="965"/>
      <c r="C1" s="965"/>
    </row>
    <row r="2" spans="1:3" x14ac:dyDescent="0.25">
      <c r="A2" s="965" t="s">
        <v>769</v>
      </c>
      <c r="B2" s="965"/>
      <c r="C2" s="965"/>
    </row>
    <row r="3" spans="1:3" x14ac:dyDescent="0.25">
      <c r="A3" s="965" t="s">
        <v>1045</v>
      </c>
      <c r="B3" s="965"/>
      <c r="C3" s="965"/>
    </row>
    <row r="5" spans="1:3" ht="16.5" thickBot="1" x14ac:dyDescent="0.3"/>
    <row r="6" spans="1:3" ht="17.25" customHeight="1" thickTop="1" thickBot="1" x14ac:dyDescent="0.3">
      <c r="A6" s="397" t="s">
        <v>136</v>
      </c>
      <c r="B6" s="366" t="s">
        <v>153</v>
      </c>
      <c r="C6" s="398" t="s">
        <v>143</v>
      </c>
    </row>
    <row r="7" spans="1:3" ht="16.5" thickTop="1" x14ac:dyDescent="0.25">
      <c r="A7" s="367" t="s">
        <v>217</v>
      </c>
      <c r="B7" s="368" t="s">
        <v>223</v>
      </c>
      <c r="C7" s="369">
        <f>'3 bevétel(szűkített)'!K55</f>
        <v>42391747</v>
      </c>
    </row>
    <row r="8" spans="1:3" x14ac:dyDescent="0.25">
      <c r="A8" s="399" t="s">
        <v>224</v>
      </c>
      <c r="B8" s="370"/>
      <c r="C8" s="220">
        <f>'3 bevétel(szűkített)'!K61</f>
        <v>28134561</v>
      </c>
    </row>
    <row r="9" spans="1:3" x14ac:dyDescent="0.25">
      <c r="A9" s="400" t="s">
        <v>305</v>
      </c>
      <c r="B9" s="371"/>
      <c r="C9" s="61">
        <f>'3 bevétel(szűkített)'!K63</f>
        <v>11524143</v>
      </c>
    </row>
    <row r="10" spans="1:3" x14ac:dyDescent="0.25">
      <c r="A10" s="192" t="s">
        <v>1204</v>
      </c>
      <c r="B10" s="371"/>
      <c r="C10" s="61">
        <f>+'3 bevétel(szűkített)'!K62</f>
        <v>265848</v>
      </c>
    </row>
    <row r="11" spans="1:3" s="373" customFormat="1" x14ac:dyDescent="0.25">
      <c r="A11" s="200" t="s">
        <v>1203</v>
      </c>
      <c r="B11" s="372" t="s">
        <v>173</v>
      </c>
      <c r="C11" s="61">
        <f>SUM(C8:C10)</f>
        <v>39924552</v>
      </c>
    </row>
    <row r="12" spans="1:3" x14ac:dyDescent="0.25">
      <c r="A12" s="401"/>
      <c r="B12" s="200"/>
      <c r="C12" s="61"/>
    </row>
    <row r="13" spans="1:3" s="373" customFormat="1" x14ac:dyDescent="0.25">
      <c r="A13" s="200" t="s">
        <v>218</v>
      </c>
      <c r="B13" s="200" t="s">
        <v>163</v>
      </c>
      <c r="C13" s="61">
        <f>'4 kiadás(szűkített)'!K22</f>
        <v>70628190</v>
      </c>
    </row>
    <row r="14" spans="1:3" ht="31.5" x14ac:dyDescent="0.25">
      <c r="A14" s="387" t="s">
        <v>795</v>
      </c>
      <c r="B14" s="60"/>
      <c r="C14" s="61">
        <f>'4 kiadás(szűkített)'!K23</f>
        <v>163966</v>
      </c>
    </row>
    <row r="15" spans="1:3" x14ac:dyDescent="0.25">
      <c r="A15" s="387" t="s">
        <v>793</v>
      </c>
      <c r="B15" s="60"/>
      <c r="C15" s="61">
        <f>'4 kiadás(szűkített)'!K24</f>
        <v>11524143</v>
      </c>
    </row>
    <row r="16" spans="1:3" x14ac:dyDescent="0.25">
      <c r="A16" s="60" t="s">
        <v>794</v>
      </c>
      <c r="B16" s="60" t="s">
        <v>209</v>
      </c>
      <c r="C16" s="374">
        <f>SUM(C14+C15)</f>
        <v>11688109</v>
      </c>
    </row>
    <row r="17" spans="1:3" x14ac:dyDescent="0.25">
      <c r="A17" s="401"/>
      <c r="B17" s="200"/>
      <c r="C17" s="394"/>
    </row>
    <row r="18" spans="1:3" s="373" customFormat="1" x14ac:dyDescent="0.25">
      <c r="A18" s="200" t="s">
        <v>219</v>
      </c>
      <c r="B18" s="200"/>
      <c r="C18" s="61">
        <f>SUM(C7-C13)</f>
        <v>-28236443</v>
      </c>
    </row>
    <row r="19" spans="1:3" s="373" customFormat="1" x14ac:dyDescent="0.25">
      <c r="A19" s="200" t="s">
        <v>220</v>
      </c>
      <c r="B19" s="200"/>
      <c r="C19" s="61">
        <f>SUM(C11-C16)</f>
        <v>28236443</v>
      </c>
    </row>
    <row r="20" spans="1:3" s="373" customFormat="1" ht="16.5" thickBot="1" x14ac:dyDescent="0.3">
      <c r="A20" s="375" t="s">
        <v>221</v>
      </c>
      <c r="B20" s="375"/>
      <c r="C20" s="543">
        <f>SUM(C18+C19)</f>
        <v>0</v>
      </c>
    </row>
    <row r="21" spans="1:3" ht="16.5" thickTop="1" x14ac:dyDescent="0.25"/>
  </sheetData>
  <mergeCells count="3">
    <mergeCell ref="A1:C1"/>
    <mergeCell ref="A2:C2"/>
    <mergeCell ref="A3:C3"/>
  </mergeCells>
  <pageMargins left="0.70866141732283472" right="0.70866141732283472" top="1.1417322834645669" bottom="0.74803149606299213" header="0.31496062992125984" footer="0.31496062992125984"/>
  <pageSetup paperSize="9" orientation="portrait" r:id="rId1"/>
  <headerFooter>
    <oddHeader>&amp;R&amp;"Times New Roman CE,Félkövér"&amp;10  5. melléklet a 12/2021.(II.25.) önkormányzati rendelethez&amp;"Times New Roman CE,Dőlt"
5. melléklet
az 5/2020.(II.17.) önkormányzati rendelethez</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BF8E1-1771-43CE-98FB-B4BBA5B61BB4}">
  <dimension ref="A3:H68"/>
  <sheetViews>
    <sheetView view="pageBreakPreview" topLeftCell="A63" zoomScale="60" zoomScaleNormal="80" workbookViewId="0">
      <selection activeCell="E68" sqref="E68"/>
    </sheetView>
  </sheetViews>
  <sheetFormatPr defaultColWidth="8" defaultRowHeight="15.75" x14ac:dyDescent="0.25"/>
  <cols>
    <col min="1" max="1" width="23.375" style="615" customWidth="1"/>
    <col min="2" max="2" width="45.75" style="615" customWidth="1"/>
    <col min="3" max="3" width="14.875" style="615" customWidth="1"/>
    <col min="4" max="4" width="13.5" style="615" customWidth="1"/>
    <col min="5" max="5" width="18.625" style="615" bestFit="1" customWidth="1"/>
    <col min="6" max="6" width="10.625" style="615" bestFit="1" customWidth="1"/>
    <col min="7" max="7" width="9.625" style="615" bestFit="1" customWidth="1"/>
    <col min="8" max="8" width="9.375" style="615" bestFit="1" customWidth="1"/>
    <col min="9" max="16384" width="8" style="615"/>
  </cols>
  <sheetData>
    <row r="3" spans="1:8" ht="31.5" customHeight="1" x14ac:dyDescent="0.25">
      <c r="A3" s="984" t="s">
        <v>1273</v>
      </c>
      <c r="B3" s="984"/>
      <c r="C3" s="984"/>
      <c r="D3" s="984"/>
      <c r="E3" s="984"/>
    </row>
    <row r="4" spans="1:8" ht="18.75" x14ac:dyDescent="0.25">
      <c r="A4" s="616"/>
      <c r="B4" s="616"/>
      <c r="C4" s="616"/>
      <c r="D4" s="616"/>
      <c r="E4" s="616"/>
    </row>
    <row r="5" spans="1:8" ht="31.5" customHeight="1" x14ac:dyDescent="0.25">
      <c r="A5" s="616"/>
      <c r="B5" s="616"/>
      <c r="C5" s="616"/>
      <c r="D5" s="616"/>
      <c r="E5" s="616"/>
    </row>
    <row r="7" spans="1:8" s="617" customFormat="1" ht="46.9" customHeight="1" x14ac:dyDescent="0.25">
      <c r="A7" s="978" t="s">
        <v>846</v>
      </c>
      <c r="B7" s="978"/>
      <c r="C7" s="979" t="s">
        <v>848</v>
      </c>
      <c r="D7" s="979" t="s">
        <v>849</v>
      </c>
      <c r="E7" s="979" t="s">
        <v>1274</v>
      </c>
    </row>
    <row r="8" spans="1:8" s="617" customFormat="1" ht="47.25" customHeight="1" x14ac:dyDescent="0.25">
      <c r="A8" s="618" t="s">
        <v>847</v>
      </c>
      <c r="B8" s="618" t="s">
        <v>136</v>
      </c>
      <c r="C8" s="980"/>
      <c r="D8" s="980"/>
      <c r="E8" s="980"/>
      <c r="H8" s="619"/>
    </row>
    <row r="9" spans="1:8" s="617" customFormat="1" ht="30" customHeight="1" x14ac:dyDescent="0.25">
      <c r="A9" s="620" t="s">
        <v>850</v>
      </c>
      <c r="B9" s="621" t="s">
        <v>851</v>
      </c>
      <c r="C9" s="622" t="s">
        <v>1275</v>
      </c>
      <c r="D9" s="623" t="s">
        <v>1276</v>
      </c>
      <c r="E9" s="624">
        <v>298000</v>
      </c>
    </row>
    <row r="10" spans="1:8" s="617" customFormat="1" ht="30" customHeight="1" x14ac:dyDescent="0.25">
      <c r="A10" s="620" t="s">
        <v>852</v>
      </c>
      <c r="B10" s="621" t="s">
        <v>853</v>
      </c>
      <c r="C10" s="625"/>
      <c r="D10" s="626"/>
      <c r="E10" s="624">
        <f>1678760050+151858050</f>
        <v>1830618100</v>
      </c>
      <c r="F10" s="627"/>
      <c r="G10" s="627"/>
    </row>
    <row r="11" spans="1:8" s="617" customFormat="1" ht="22.9" customHeight="1" x14ac:dyDescent="0.25">
      <c r="A11" s="620" t="s">
        <v>854</v>
      </c>
      <c r="B11" s="621" t="s">
        <v>855</v>
      </c>
      <c r="C11" s="628" t="s">
        <v>1277</v>
      </c>
      <c r="D11" s="629">
        <v>3073.7</v>
      </c>
      <c r="E11" s="624">
        <v>299378380</v>
      </c>
    </row>
    <row r="12" spans="1:8" s="617" customFormat="1" ht="47.25" x14ac:dyDescent="0.25">
      <c r="A12" s="620" t="s">
        <v>856</v>
      </c>
      <c r="B12" s="621" t="s">
        <v>857</v>
      </c>
      <c r="C12" s="625"/>
      <c r="D12" s="626">
        <v>106</v>
      </c>
      <c r="E12" s="624">
        <f>53832764+2024661</f>
        <v>55857425</v>
      </c>
    </row>
    <row r="13" spans="1:8" s="617" customFormat="1" ht="22.9" customHeight="1" x14ac:dyDescent="0.25">
      <c r="A13" s="620" t="s">
        <v>858</v>
      </c>
      <c r="B13" s="621" t="s">
        <v>859</v>
      </c>
      <c r="C13" s="628" t="s">
        <v>1278</v>
      </c>
      <c r="D13" s="629">
        <v>2.5</v>
      </c>
      <c r="E13" s="624">
        <v>2029000</v>
      </c>
    </row>
    <row r="14" spans="1:8" s="617" customFormat="1" ht="28.5" customHeight="1" x14ac:dyDescent="0.25">
      <c r="A14" s="620" t="s">
        <v>860</v>
      </c>
      <c r="B14" s="621" t="s">
        <v>861</v>
      </c>
      <c r="C14" s="630" t="s">
        <v>1279</v>
      </c>
      <c r="D14" s="626">
        <v>12</v>
      </c>
      <c r="E14" s="624">
        <f>45360000+3840000</f>
        <v>49200000</v>
      </c>
    </row>
    <row r="15" spans="1:8" s="617" customFormat="1" ht="33" customHeight="1" x14ac:dyDescent="0.25">
      <c r="A15" s="620" t="s">
        <v>862</v>
      </c>
      <c r="B15" s="621" t="s">
        <v>863</v>
      </c>
      <c r="C15" s="630" t="s">
        <v>1280</v>
      </c>
      <c r="D15" s="626">
        <v>23</v>
      </c>
      <c r="E15" s="624">
        <f>75900000+8050000</f>
        <v>83950000</v>
      </c>
    </row>
    <row r="16" spans="1:8" s="617" customFormat="1" ht="22.9" customHeight="1" x14ac:dyDescent="0.25">
      <c r="A16" s="620" t="s">
        <v>864</v>
      </c>
      <c r="B16" s="621" t="s">
        <v>865</v>
      </c>
      <c r="C16" s="630" t="s">
        <v>1281</v>
      </c>
      <c r="D16" s="626">
        <v>446</v>
      </c>
      <c r="E16" s="624">
        <f>29150560+446000</f>
        <v>29596560</v>
      </c>
    </row>
    <row r="17" spans="1:6" s="617" customFormat="1" ht="22.9" customHeight="1" x14ac:dyDescent="0.25">
      <c r="A17" s="620" t="s">
        <v>866</v>
      </c>
      <c r="B17" s="621" t="s">
        <v>867</v>
      </c>
      <c r="C17" s="630" t="s">
        <v>1282</v>
      </c>
      <c r="D17" s="626">
        <v>4</v>
      </c>
      <c r="E17" s="624">
        <f>100000</f>
        <v>100000</v>
      </c>
    </row>
    <row r="18" spans="1:6" s="617" customFormat="1" ht="47.25" customHeight="1" x14ac:dyDescent="0.25">
      <c r="A18" s="620" t="s">
        <v>868</v>
      </c>
      <c r="B18" s="621" t="s">
        <v>869</v>
      </c>
      <c r="C18" s="630" t="s">
        <v>1283</v>
      </c>
      <c r="D18" s="623" t="s">
        <v>1284</v>
      </c>
      <c r="E18" s="624">
        <f>38610000+5214000</f>
        <v>43824000</v>
      </c>
    </row>
    <row r="19" spans="1:6" s="617" customFormat="1" ht="44.25" customHeight="1" x14ac:dyDescent="0.25">
      <c r="A19" s="620" t="s">
        <v>870</v>
      </c>
      <c r="B19" s="621" t="s">
        <v>871</v>
      </c>
      <c r="C19" s="630" t="s">
        <v>1285</v>
      </c>
      <c r="D19" s="623" t="s">
        <v>1286</v>
      </c>
      <c r="E19" s="624">
        <f>9310000+2160000</f>
        <v>11470000</v>
      </c>
    </row>
    <row r="20" spans="1:6" s="617" customFormat="1" ht="30" customHeight="1" x14ac:dyDescent="0.25">
      <c r="A20" s="620" t="s">
        <v>872</v>
      </c>
      <c r="B20" s="621" t="s">
        <v>873</v>
      </c>
      <c r="C20" s="630" t="s">
        <v>1287</v>
      </c>
      <c r="D20" s="631" t="s">
        <v>1288</v>
      </c>
      <c r="E20" s="624">
        <f>8268000+774000</f>
        <v>9042000</v>
      </c>
      <c r="F20" s="632"/>
    </row>
    <row r="21" spans="1:6" s="617" customFormat="1" ht="31.5" x14ac:dyDescent="0.25">
      <c r="A21" s="620" t="s">
        <v>874</v>
      </c>
      <c r="B21" s="621" t="s">
        <v>875</v>
      </c>
      <c r="C21" s="633" t="s">
        <v>960</v>
      </c>
      <c r="D21" s="626">
        <v>60</v>
      </c>
      <c r="E21" s="624">
        <f>14346000+10785900</f>
        <v>25131900</v>
      </c>
    </row>
    <row r="22" spans="1:6" s="617" customFormat="1" ht="31.5" customHeight="1" x14ac:dyDescent="0.25">
      <c r="A22" s="620" t="s">
        <v>876</v>
      </c>
      <c r="B22" s="621" t="s">
        <v>877</v>
      </c>
      <c r="C22" s="630" t="s">
        <v>1289</v>
      </c>
      <c r="D22" s="634" t="s">
        <v>1290</v>
      </c>
      <c r="E22" s="624">
        <f>65475250+3872000</f>
        <v>69347250</v>
      </c>
    </row>
    <row r="23" spans="1:6" s="617" customFormat="1" x14ac:dyDescent="0.25">
      <c r="A23" s="620" t="s">
        <v>878</v>
      </c>
      <c r="B23" s="621" t="s">
        <v>879</v>
      </c>
      <c r="C23" s="624"/>
      <c r="D23" s="626"/>
      <c r="E23" s="624">
        <v>101755612</v>
      </c>
    </row>
    <row r="24" spans="1:6" s="617" customFormat="1" ht="79.900000000000006" customHeight="1" x14ac:dyDescent="0.25">
      <c r="A24" s="620" t="s">
        <v>880</v>
      </c>
      <c r="B24" s="621" t="s">
        <v>881</v>
      </c>
      <c r="C24" s="630" t="s">
        <v>1291</v>
      </c>
      <c r="D24" s="634" t="s">
        <v>1292</v>
      </c>
      <c r="E24" s="624">
        <f>266204760+27448000</f>
        <v>293652760</v>
      </c>
    </row>
    <row r="25" spans="1:6" s="617" customFormat="1" ht="65.45" customHeight="1" x14ac:dyDescent="0.25">
      <c r="A25" s="620" t="s">
        <v>882</v>
      </c>
      <c r="B25" s="621" t="s">
        <v>883</v>
      </c>
      <c r="C25" s="624"/>
      <c r="D25" s="626"/>
      <c r="E25" s="624">
        <f>222102000</f>
        <v>222102000</v>
      </c>
    </row>
    <row r="26" spans="1:6" s="617" customFormat="1" ht="49.15" customHeight="1" x14ac:dyDescent="0.25">
      <c r="A26" s="620" t="s">
        <v>884</v>
      </c>
      <c r="B26" s="621" t="s">
        <v>885</v>
      </c>
      <c r="C26" s="630" t="s">
        <v>1293</v>
      </c>
      <c r="D26" s="635">
        <v>117.52</v>
      </c>
      <c r="E26" s="624">
        <f>258544000+20683520</f>
        <v>279227520</v>
      </c>
    </row>
    <row r="27" spans="1:6" s="617" customFormat="1" ht="31.5" x14ac:dyDescent="0.25">
      <c r="A27" s="620" t="s">
        <v>886</v>
      </c>
      <c r="B27" s="621" t="s">
        <v>887</v>
      </c>
      <c r="C27" s="624"/>
      <c r="D27" s="626"/>
      <c r="E27" s="624">
        <v>432240458</v>
      </c>
    </row>
    <row r="28" spans="1:6" s="617" customFormat="1" ht="60" customHeight="1" x14ac:dyDescent="0.25">
      <c r="A28" s="620" t="s">
        <v>888</v>
      </c>
      <c r="B28" s="621" t="s">
        <v>889</v>
      </c>
      <c r="C28" s="630" t="s">
        <v>1294</v>
      </c>
      <c r="D28" s="626">
        <v>116</v>
      </c>
      <c r="E28" s="624">
        <v>33060</v>
      </c>
    </row>
    <row r="29" spans="1:6" s="617" customFormat="1" ht="31.5" x14ac:dyDescent="0.25">
      <c r="A29" s="620" t="s">
        <v>890</v>
      </c>
      <c r="B29" s="621" t="s">
        <v>891</v>
      </c>
      <c r="C29" s="624"/>
      <c r="D29" s="626"/>
      <c r="E29" s="624">
        <f>200388700+8397000+20159400</f>
        <v>228945100</v>
      </c>
    </row>
    <row r="30" spans="1:6" s="617" customFormat="1" ht="22.9" customHeight="1" x14ac:dyDescent="0.25">
      <c r="A30" s="620" t="s">
        <v>892</v>
      </c>
      <c r="B30" s="621" t="s">
        <v>893</v>
      </c>
      <c r="C30" s="624"/>
      <c r="D30" s="626"/>
      <c r="E30" s="624">
        <v>58223000</v>
      </c>
    </row>
    <row r="31" spans="1:6" s="617" customFormat="1" ht="30" customHeight="1" x14ac:dyDescent="0.25">
      <c r="A31" s="620" t="s">
        <v>894</v>
      </c>
      <c r="B31" s="621" t="s">
        <v>895</v>
      </c>
      <c r="C31" s="636" t="s">
        <v>1295</v>
      </c>
      <c r="D31" s="626">
        <v>96373</v>
      </c>
      <c r="E31" s="624">
        <f>44235207+14070458</f>
        <v>58305665</v>
      </c>
    </row>
    <row r="32" spans="1:6" s="617" customFormat="1" ht="30" customHeight="1" x14ac:dyDescent="0.25">
      <c r="A32" s="620" t="s">
        <v>896</v>
      </c>
      <c r="B32" s="621" t="s">
        <v>961</v>
      </c>
      <c r="C32" s="624"/>
      <c r="D32" s="626"/>
      <c r="E32" s="624">
        <v>73051460</v>
      </c>
    </row>
    <row r="33" spans="1:6" s="617" customFormat="1" ht="19.5" customHeight="1" x14ac:dyDescent="0.25">
      <c r="B33" s="637"/>
      <c r="C33" s="627"/>
      <c r="D33" s="638"/>
      <c r="E33" s="627"/>
    </row>
    <row r="35" spans="1:6" s="617" customFormat="1" x14ac:dyDescent="0.25">
      <c r="A35" s="639" t="s">
        <v>897</v>
      </c>
      <c r="B35" s="640"/>
      <c r="C35" s="641"/>
      <c r="D35" s="641"/>
      <c r="E35" s="641">
        <f>SUM(E9:E32)</f>
        <v>4257379250</v>
      </c>
    </row>
    <row r="36" spans="1:6" s="617" customFormat="1" x14ac:dyDescent="0.25">
      <c r="A36" s="642"/>
      <c r="B36" s="643"/>
      <c r="C36" s="644"/>
      <c r="D36" s="644"/>
      <c r="E36" s="644"/>
    </row>
    <row r="37" spans="1:6" s="617" customFormat="1" x14ac:dyDescent="0.25">
      <c r="A37" s="642"/>
      <c r="B37" s="643"/>
      <c r="C37" s="644"/>
      <c r="D37" s="644"/>
      <c r="E37" s="644"/>
    </row>
    <row r="38" spans="1:6" x14ac:dyDescent="0.25">
      <c r="B38" s="645"/>
    </row>
    <row r="39" spans="1:6" s="617" customFormat="1" ht="69" customHeight="1" x14ac:dyDescent="0.25">
      <c r="A39" s="978" t="s">
        <v>846</v>
      </c>
      <c r="B39" s="978"/>
      <c r="C39" s="979" t="s">
        <v>1274</v>
      </c>
      <c r="D39" s="642"/>
    </row>
    <row r="40" spans="1:6" s="617" customFormat="1" ht="47.25" customHeight="1" x14ac:dyDescent="0.25">
      <c r="A40" s="618" t="s">
        <v>847</v>
      </c>
      <c r="B40" s="618" t="s">
        <v>136</v>
      </c>
      <c r="C40" s="980"/>
      <c r="D40" s="646"/>
    </row>
    <row r="41" spans="1:6" s="617" customFormat="1" ht="31.5" x14ac:dyDescent="0.25">
      <c r="A41" s="647" t="s">
        <v>962</v>
      </c>
      <c r="B41" s="647" t="s">
        <v>963</v>
      </c>
      <c r="C41" s="633">
        <v>190988200</v>
      </c>
      <c r="F41" s="627"/>
    </row>
    <row r="42" spans="1:6" s="617" customFormat="1" ht="31.5" x14ac:dyDescent="0.25">
      <c r="A42" s="647" t="s">
        <v>964</v>
      </c>
      <c r="B42" s="647" t="s">
        <v>965</v>
      </c>
      <c r="C42" s="633">
        <v>17301500</v>
      </c>
    </row>
    <row r="43" spans="1:6" s="617" customFormat="1" ht="31.5" x14ac:dyDescent="0.25">
      <c r="A43" s="647" t="s">
        <v>966</v>
      </c>
      <c r="B43" s="647" t="s">
        <v>967</v>
      </c>
      <c r="C43" s="633">
        <v>8561497</v>
      </c>
      <c r="F43" s="627"/>
    </row>
    <row r="44" spans="1:6" s="617" customFormat="1" ht="31.5" x14ac:dyDescent="0.25">
      <c r="A44" s="647" t="s">
        <v>968</v>
      </c>
      <c r="B44" s="647" t="s">
        <v>969</v>
      </c>
      <c r="C44" s="633">
        <v>259758628</v>
      </c>
    </row>
    <row r="45" spans="1:6" s="617" customFormat="1" ht="47.25" x14ac:dyDescent="0.25">
      <c r="A45" s="620" t="s">
        <v>898</v>
      </c>
      <c r="B45" s="621" t="s">
        <v>899</v>
      </c>
      <c r="C45" s="648">
        <v>234160000</v>
      </c>
    </row>
    <row r="46" spans="1:6" s="617" customFormat="1" ht="47.25" x14ac:dyDescent="0.25">
      <c r="A46" s="620" t="s">
        <v>900</v>
      </c>
      <c r="B46" s="621" t="s">
        <v>901</v>
      </c>
      <c r="C46" s="624">
        <v>177000000</v>
      </c>
    </row>
    <row r="47" spans="1:6" s="617" customFormat="1" ht="47.25" x14ac:dyDescent="0.25">
      <c r="A47" s="620" t="s">
        <v>902</v>
      </c>
      <c r="B47" s="621" t="s">
        <v>903</v>
      </c>
      <c r="C47" s="624">
        <v>30000000</v>
      </c>
    </row>
    <row r="48" spans="1:6" s="617" customFormat="1" ht="47.25" x14ac:dyDescent="0.25">
      <c r="A48" s="620" t="s">
        <v>904</v>
      </c>
      <c r="B48" s="621" t="s">
        <v>905</v>
      </c>
      <c r="C48" s="624">
        <v>0</v>
      </c>
    </row>
    <row r="49" spans="1:5" s="617" customFormat="1" ht="31.5" x14ac:dyDescent="0.25">
      <c r="A49" s="620" t="s">
        <v>906</v>
      </c>
      <c r="B49" s="621" t="s">
        <v>907</v>
      </c>
      <c r="C49" s="624">
        <v>2100000</v>
      </c>
      <c r="E49" s="627"/>
    </row>
    <row r="50" spans="1:5" s="617" customFormat="1" x14ac:dyDescent="0.25">
      <c r="A50" s="620" t="s">
        <v>970</v>
      </c>
      <c r="B50" s="649" t="s">
        <v>1296</v>
      </c>
      <c r="C50" s="624">
        <v>98603464</v>
      </c>
    </row>
    <row r="51" spans="1:5" s="617" customFormat="1" ht="47.25" x14ac:dyDescent="0.25">
      <c r="A51" s="620" t="s">
        <v>971</v>
      </c>
      <c r="B51" s="621" t="s">
        <v>1297</v>
      </c>
      <c r="C51" s="624">
        <v>2000000</v>
      </c>
    </row>
    <row r="52" spans="1:5" x14ac:dyDescent="0.25">
      <c r="B52" s="637"/>
      <c r="D52" s="650"/>
      <c r="E52" s="650"/>
    </row>
    <row r="53" spans="1:5" s="654" customFormat="1" x14ac:dyDescent="0.25">
      <c r="A53" s="651" t="s">
        <v>972</v>
      </c>
      <c r="B53" s="640"/>
      <c r="C53" s="652">
        <f>SUM(C41:C51)</f>
        <v>1020473289</v>
      </c>
      <c r="D53" s="653"/>
    </row>
    <row r="54" spans="1:5" s="654" customFormat="1" x14ac:dyDescent="0.25">
      <c r="B54" s="643"/>
      <c r="C54" s="653"/>
      <c r="D54" s="653"/>
    </row>
    <row r="55" spans="1:5" s="654" customFormat="1" x14ac:dyDescent="0.25">
      <c r="B55" s="643"/>
      <c r="C55" s="653"/>
      <c r="D55" s="653"/>
    </row>
    <row r="56" spans="1:5" s="654" customFormat="1" x14ac:dyDescent="0.25">
      <c r="A56" s="978" t="s">
        <v>846</v>
      </c>
      <c r="B56" s="978"/>
      <c r="C56" s="979" t="s">
        <v>1274</v>
      </c>
      <c r="D56" s="653"/>
    </row>
    <row r="57" spans="1:5" s="654" customFormat="1" ht="31.5" x14ac:dyDescent="0.25">
      <c r="A57" s="618" t="s">
        <v>847</v>
      </c>
      <c r="B57" s="618" t="s">
        <v>136</v>
      </c>
      <c r="C57" s="980"/>
      <c r="D57" s="653"/>
    </row>
    <row r="58" spans="1:5" s="654" customFormat="1" x14ac:dyDescent="0.25">
      <c r="A58" s="981" t="s">
        <v>1298</v>
      </c>
      <c r="B58" s="982"/>
      <c r="C58" s="983"/>
    </row>
    <row r="59" spans="1:5" s="654" customFormat="1" ht="94.5" x14ac:dyDescent="0.25">
      <c r="A59" s="647" t="s">
        <v>1299</v>
      </c>
      <c r="B59" s="621" t="s">
        <v>1300</v>
      </c>
      <c r="C59" s="624">
        <v>5824753</v>
      </c>
      <c r="E59" s="655"/>
    </row>
    <row r="60" spans="1:5" s="654" customFormat="1" ht="141.75" x14ac:dyDescent="0.25">
      <c r="A60" s="656" t="s">
        <v>1301</v>
      </c>
      <c r="B60" s="647" t="s">
        <v>1302</v>
      </c>
      <c r="C60" s="624">
        <v>1380000000</v>
      </c>
    </row>
    <row r="61" spans="1:5" s="654" customFormat="1" ht="157.5" x14ac:dyDescent="0.25">
      <c r="A61" s="656" t="s">
        <v>1303</v>
      </c>
      <c r="B61" s="621" t="s">
        <v>1304</v>
      </c>
      <c r="C61" s="624">
        <v>615059000</v>
      </c>
    </row>
    <row r="62" spans="1:5" s="654" customFormat="1" x14ac:dyDescent="0.25">
      <c r="A62" s="981" t="s">
        <v>1305</v>
      </c>
      <c r="B62" s="982"/>
      <c r="C62" s="983"/>
    </row>
    <row r="63" spans="1:5" s="654" customFormat="1" ht="110.25" x14ac:dyDescent="0.25">
      <c r="A63" s="647" t="s">
        <v>1306</v>
      </c>
      <c r="B63" s="621" t="s">
        <v>1307</v>
      </c>
      <c r="C63" s="624">
        <v>375500000</v>
      </c>
    </row>
    <row r="64" spans="1:5" s="654" customFormat="1" x14ac:dyDescent="0.25">
      <c r="A64" s="657"/>
      <c r="B64" s="637"/>
      <c r="C64" s="650"/>
      <c r="D64" s="650"/>
    </row>
    <row r="65" spans="1:5" s="654" customFormat="1" x14ac:dyDescent="0.25">
      <c r="A65" s="651" t="s">
        <v>1308</v>
      </c>
      <c r="B65" s="640"/>
      <c r="C65" s="652">
        <f>C59+C60+C61+C63</f>
        <v>2376383753</v>
      </c>
    </row>
    <row r="66" spans="1:5" s="654" customFormat="1" x14ac:dyDescent="0.25">
      <c r="B66" s="643"/>
      <c r="C66" s="653"/>
      <c r="D66" s="653"/>
    </row>
    <row r="67" spans="1:5" x14ac:dyDescent="0.25">
      <c r="B67" s="637"/>
      <c r="D67" s="650"/>
    </row>
    <row r="68" spans="1:5" s="654" customFormat="1" x14ac:dyDescent="0.25">
      <c r="A68" s="651" t="s">
        <v>487</v>
      </c>
      <c r="B68" s="651"/>
      <c r="C68" s="652">
        <f>E35+C53+C65</f>
        <v>7654236292</v>
      </c>
      <c r="D68" s="653"/>
      <c r="E68" s="653"/>
    </row>
  </sheetData>
  <mergeCells count="11">
    <mergeCell ref="A56:B56"/>
    <mergeCell ref="C56:C57"/>
    <mergeCell ref="A58:C58"/>
    <mergeCell ref="A62:C62"/>
    <mergeCell ref="A3:E3"/>
    <mergeCell ref="A7:B7"/>
    <mergeCell ref="C7:C8"/>
    <mergeCell ref="D7:D8"/>
    <mergeCell ref="E7:E8"/>
    <mergeCell ref="A39:B39"/>
    <mergeCell ref="C39:C40"/>
  </mergeCells>
  <pageMargins left="0.70866141732283472" right="0.35433070866141736" top="0.74803149606299213" bottom="0.51181102362204722" header="0.31496062992125984" footer="0.31496062992125984"/>
  <pageSetup paperSize="9" scale="62" fitToHeight="2" orientation="portrait" r:id="rId1"/>
  <headerFooter>
    <oddHeader>&amp;R&amp;"Times New Roman CE,Félkövér"  6. melléklet a 12/2021.(II.25.) önkormányzati rendelethez&amp;"Times New Roman CE,Normál"
&amp;"Times New Roman CE,Dőlt"6. melléklet
az 5/2020.(II.17.) önkormányzati rendelethez</oddHeader>
  </headerFooter>
  <rowBreaks count="1" manualBreakCount="1">
    <brk id="38"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DD099-F685-4FA6-8BEE-088520C20489}">
  <dimension ref="A1:P440"/>
  <sheetViews>
    <sheetView view="pageBreakPreview" zoomScale="60" zoomScaleNormal="70" workbookViewId="0">
      <pane xSplit="1" ySplit="5" topLeftCell="B411" activePane="bottomRight" state="frozen"/>
      <selection sqref="A1:XFD1048576"/>
      <selection pane="topRight" sqref="A1:XFD1048576"/>
      <selection pane="bottomLeft" sqref="A1:XFD1048576"/>
      <selection pane="bottomRight" activeCell="O403" sqref="A403:O404"/>
    </sheetView>
  </sheetViews>
  <sheetFormatPr defaultRowHeight="15.75" x14ac:dyDescent="0.25"/>
  <cols>
    <col min="1" max="1" width="3.125" style="658" customWidth="1"/>
    <col min="2" max="2" width="38.25" style="650" customWidth="1"/>
    <col min="3" max="3" width="15.75" style="659" customWidth="1"/>
    <col min="4" max="4" width="16.875" style="659" customWidth="1"/>
    <col min="5" max="5" width="11.75" style="659" customWidth="1"/>
    <col min="6" max="6" width="10.125" style="659" customWidth="1"/>
    <col min="7" max="7" width="12.625" style="659" customWidth="1"/>
    <col min="8" max="8" width="13.25" style="659" customWidth="1"/>
    <col min="9" max="9" width="12.375" style="659" customWidth="1"/>
    <col min="10" max="10" width="13.75" style="659" customWidth="1"/>
    <col min="11" max="11" width="13.375" style="659" customWidth="1"/>
    <col min="12" max="12" width="14" style="659" customWidth="1"/>
    <col min="13" max="13" width="14.875" style="659" customWidth="1"/>
    <col min="14" max="14" width="12.5" style="659" customWidth="1"/>
    <col min="15" max="15" width="11.125" style="659" customWidth="1"/>
    <col min="16" max="16" width="10.25" style="659" hidden="1" customWidth="1"/>
    <col min="17" max="17" width="9.25" style="659" bestFit="1" customWidth="1"/>
    <col min="18" max="16384" width="9" style="659"/>
  </cols>
  <sheetData>
    <row r="1" spans="1:16" ht="16.5" thickBot="1" x14ac:dyDescent="0.3">
      <c r="B1" s="993" t="s">
        <v>1234</v>
      </c>
      <c r="C1" s="993"/>
      <c r="D1" s="993"/>
      <c r="E1" s="993"/>
      <c r="F1" s="993"/>
      <c r="G1" s="993"/>
      <c r="H1" s="993"/>
      <c r="I1" s="993"/>
      <c r="J1" s="993"/>
      <c r="K1" s="993"/>
      <c r="L1" s="993"/>
      <c r="M1" s="993"/>
      <c r="N1" s="993"/>
      <c r="O1" s="993"/>
      <c r="P1" s="993"/>
    </row>
    <row r="2" spans="1:16" ht="21.75" customHeight="1" thickBot="1" x14ac:dyDescent="0.3">
      <c r="A2" s="994" t="s">
        <v>425</v>
      </c>
      <c r="B2" s="987" t="s">
        <v>424</v>
      </c>
      <c r="C2" s="987" t="s">
        <v>257</v>
      </c>
      <c r="D2" s="987" t="s">
        <v>258</v>
      </c>
      <c r="E2" s="987" t="s">
        <v>423</v>
      </c>
      <c r="F2" s="987" t="s">
        <v>54</v>
      </c>
      <c r="G2" s="987" t="s">
        <v>59</v>
      </c>
      <c r="H2" s="987" t="s">
        <v>259</v>
      </c>
      <c r="I2" s="987" t="s">
        <v>260</v>
      </c>
      <c r="J2" s="987" t="s">
        <v>442</v>
      </c>
      <c r="K2" s="987" t="s">
        <v>443</v>
      </c>
      <c r="L2" s="987" t="s">
        <v>422</v>
      </c>
      <c r="M2" s="989" t="s">
        <v>421</v>
      </c>
      <c r="N2" s="990"/>
      <c r="O2" s="987" t="s">
        <v>420</v>
      </c>
    </row>
    <row r="3" spans="1:16" ht="33.75" customHeight="1" thickBot="1" x14ac:dyDescent="0.3">
      <c r="A3" s="995"/>
      <c r="B3" s="988"/>
      <c r="C3" s="988"/>
      <c r="D3" s="988"/>
      <c r="E3" s="988"/>
      <c r="F3" s="988"/>
      <c r="G3" s="988"/>
      <c r="H3" s="988"/>
      <c r="I3" s="988"/>
      <c r="J3" s="988"/>
      <c r="K3" s="988"/>
      <c r="L3" s="988"/>
      <c r="M3" s="660" t="s">
        <v>419</v>
      </c>
      <c r="N3" s="661" t="s">
        <v>261</v>
      </c>
      <c r="O3" s="988"/>
    </row>
    <row r="4" spans="1:16" thickBot="1" x14ac:dyDescent="0.3">
      <c r="A4" s="996"/>
      <c r="B4" s="662"/>
      <c r="C4" s="663" t="s">
        <v>164</v>
      </c>
      <c r="D4" s="663" t="s">
        <v>165</v>
      </c>
      <c r="E4" s="663" t="s">
        <v>166</v>
      </c>
      <c r="F4" s="663" t="s">
        <v>167</v>
      </c>
      <c r="G4" s="663" t="s">
        <v>168</v>
      </c>
      <c r="H4" s="663" t="s">
        <v>169</v>
      </c>
      <c r="I4" s="663" t="s">
        <v>170</v>
      </c>
      <c r="J4" s="664" t="s">
        <v>418</v>
      </c>
      <c r="K4" s="665" t="s">
        <v>417</v>
      </c>
      <c r="L4" s="663" t="s">
        <v>416</v>
      </c>
      <c r="M4" s="991" t="s">
        <v>173</v>
      </c>
      <c r="N4" s="992"/>
      <c r="O4" s="666" t="s">
        <v>415</v>
      </c>
    </row>
    <row r="5" spans="1:16" ht="17.25" thickTop="1" thickBot="1" x14ac:dyDescent="0.3">
      <c r="A5" s="667"/>
      <c r="B5" s="668" t="s">
        <v>138</v>
      </c>
      <c r="C5" s="669" t="s">
        <v>139</v>
      </c>
      <c r="D5" s="669" t="s">
        <v>140</v>
      </c>
      <c r="E5" s="669" t="s">
        <v>141</v>
      </c>
      <c r="F5" s="669" t="s">
        <v>142</v>
      </c>
      <c r="G5" s="669" t="s">
        <v>414</v>
      </c>
      <c r="H5" s="669" t="s">
        <v>35</v>
      </c>
      <c r="I5" s="669" t="s">
        <v>36</v>
      </c>
      <c r="J5" s="669" t="s">
        <v>413</v>
      </c>
      <c r="K5" s="669" t="s">
        <v>412</v>
      </c>
      <c r="L5" s="669" t="s">
        <v>411</v>
      </c>
      <c r="M5" s="985" t="s">
        <v>40</v>
      </c>
      <c r="N5" s="986"/>
      <c r="O5" s="670" t="s">
        <v>262</v>
      </c>
    </row>
    <row r="6" spans="1:16" ht="16.5" thickTop="1" x14ac:dyDescent="0.25">
      <c r="A6" s="671" t="s">
        <v>144</v>
      </c>
      <c r="B6" s="672" t="s">
        <v>410</v>
      </c>
      <c r="C6" s="672"/>
      <c r="D6" s="672"/>
      <c r="E6" s="672"/>
      <c r="F6" s="672"/>
      <c r="G6" s="672"/>
      <c r="H6" s="672"/>
      <c r="I6" s="672"/>
      <c r="J6" s="672"/>
      <c r="K6" s="672"/>
      <c r="L6" s="672"/>
      <c r="M6" s="672"/>
      <c r="N6" s="672"/>
      <c r="O6" s="672"/>
    </row>
    <row r="7" spans="1:16" x14ac:dyDescent="0.25">
      <c r="A7" s="671"/>
      <c r="B7" s="673" t="s">
        <v>347</v>
      </c>
      <c r="C7" s="673">
        <f>SUM(C8:C9)</f>
        <v>642040</v>
      </c>
      <c r="D7" s="673">
        <f t="shared" ref="D7:F7" si="0">SUM(D8:D9)</f>
        <v>0</v>
      </c>
      <c r="E7" s="673">
        <f t="shared" si="0"/>
        <v>0</v>
      </c>
      <c r="F7" s="673">
        <f t="shared" si="0"/>
        <v>27177</v>
      </c>
      <c r="G7" s="673"/>
      <c r="H7" s="673"/>
      <c r="I7" s="673"/>
      <c r="J7" s="673">
        <f>SUM(C7+E7+F7+H7)</f>
        <v>669217</v>
      </c>
      <c r="K7" s="673">
        <f>SUM(D7+G7+I7)</f>
        <v>0</v>
      </c>
      <c r="L7" s="673">
        <f>SUM(J7:K7)</f>
        <v>669217</v>
      </c>
      <c r="M7" s="673">
        <f>SUM(M8:M9)</f>
        <v>462766</v>
      </c>
      <c r="N7" s="673">
        <f>SUM(N8:N9)</f>
        <v>105152</v>
      </c>
      <c r="O7" s="673">
        <f>SUM(L7:N7)</f>
        <v>1237135</v>
      </c>
    </row>
    <row r="8" spans="1:16" s="677" customFormat="1" x14ac:dyDescent="0.25">
      <c r="A8" s="674"/>
      <c r="B8" s="675" t="s">
        <v>381</v>
      </c>
      <c r="C8" s="675">
        <v>509365</v>
      </c>
      <c r="D8" s="675"/>
      <c r="E8" s="675"/>
      <c r="F8" s="675">
        <v>26702</v>
      </c>
      <c r="G8" s="675"/>
      <c r="H8" s="675"/>
      <c r="I8" s="676"/>
      <c r="J8" s="676">
        <f>SUM(C8+E8+F8+H8)</f>
        <v>536067</v>
      </c>
      <c r="K8" s="676">
        <f>SUM(D8+G8+I8)</f>
        <v>0</v>
      </c>
      <c r="L8" s="676">
        <f>SUM(J8:K8)</f>
        <v>536067</v>
      </c>
      <c r="M8" s="676">
        <v>368552</v>
      </c>
      <c r="N8" s="676">
        <v>105152</v>
      </c>
      <c r="O8" s="676">
        <f>SUM(L8:N8)</f>
        <v>1009771</v>
      </c>
    </row>
    <row r="9" spans="1:16" s="677" customFormat="1" x14ac:dyDescent="0.25">
      <c r="A9" s="674"/>
      <c r="B9" s="675" t="s">
        <v>380</v>
      </c>
      <c r="C9" s="675">
        <v>132675</v>
      </c>
      <c r="D9" s="675"/>
      <c r="E9" s="675"/>
      <c r="F9" s="675">
        <v>475</v>
      </c>
      <c r="G9" s="675"/>
      <c r="H9" s="675"/>
      <c r="I9" s="676"/>
      <c r="J9" s="676">
        <f>SUM(C9+E9+F9+H9)</f>
        <v>133150</v>
      </c>
      <c r="K9" s="676">
        <f>SUM(D9+G9+I9)</f>
        <v>0</v>
      </c>
      <c r="L9" s="676">
        <f>SUM(J9:K9)</f>
        <v>133150</v>
      </c>
      <c r="M9" s="676">
        <v>94214</v>
      </c>
      <c r="N9" s="676"/>
      <c r="O9" s="676">
        <f>SUM(L9:N9)</f>
        <v>227364</v>
      </c>
    </row>
    <row r="10" spans="1:16" s="677" customFormat="1" x14ac:dyDescent="0.25">
      <c r="A10" s="674"/>
      <c r="B10" s="675" t="s">
        <v>131</v>
      </c>
      <c r="C10" s="678"/>
      <c r="D10" s="678"/>
      <c r="E10" s="678"/>
      <c r="F10" s="678"/>
      <c r="G10" s="678"/>
      <c r="H10" s="678"/>
      <c r="I10" s="678"/>
      <c r="J10" s="678"/>
      <c r="K10" s="678"/>
      <c r="L10" s="678"/>
      <c r="M10" s="678"/>
      <c r="N10" s="678"/>
      <c r="O10" s="678"/>
    </row>
    <row r="11" spans="1:16" s="677" customFormat="1" ht="31.5" x14ac:dyDescent="0.25">
      <c r="A11" s="674"/>
      <c r="B11" s="678" t="s">
        <v>1235</v>
      </c>
      <c r="C11" s="678"/>
      <c r="D11" s="673"/>
      <c r="E11" s="678"/>
      <c r="F11" s="678"/>
      <c r="G11" s="678"/>
      <c r="H11" s="678"/>
      <c r="I11" s="678"/>
      <c r="J11" s="678">
        <f t="shared" ref="J11:J13" si="1">SUM(C11+E11+F11+H11)</f>
        <v>0</v>
      </c>
      <c r="K11" s="678">
        <f t="shared" ref="K11:K13" si="2">SUM(D11+G11+I11)</f>
        <v>0</v>
      </c>
      <c r="L11" s="678">
        <f t="shared" ref="L11:L13" si="3">SUM(J11:K11)</f>
        <v>0</v>
      </c>
      <c r="M11" s="678">
        <v>-3670</v>
      </c>
      <c r="N11" s="678">
        <v>3670</v>
      </c>
      <c r="O11" s="678">
        <f t="shared" ref="O11:O13" si="4">SUM(L11:N11)</f>
        <v>0</v>
      </c>
    </row>
    <row r="12" spans="1:16" ht="31.5" x14ac:dyDescent="0.25">
      <c r="A12" s="671"/>
      <c r="B12" s="678" t="s">
        <v>1236</v>
      </c>
      <c r="C12" s="678"/>
      <c r="D12" s="678"/>
      <c r="E12" s="678"/>
      <c r="F12" s="678"/>
      <c r="G12" s="678"/>
      <c r="H12" s="678"/>
      <c r="I12" s="678"/>
      <c r="J12" s="678">
        <f t="shared" si="1"/>
        <v>0</v>
      </c>
      <c r="K12" s="678">
        <f t="shared" si="2"/>
        <v>0</v>
      </c>
      <c r="L12" s="678">
        <f t="shared" si="3"/>
        <v>0</v>
      </c>
      <c r="M12" s="678">
        <v>1</v>
      </c>
      <c r="N12" s="678"/>
      <c r="O12" s="678">
        <f t="shared" si="4"/>
        <v>1</v>
      </c>
    </row>
    <row r="13" spans="1:16" ht="31.5" x14ac:dyDescent="0.25">
      <c r="A13" s="671"/>
      <c r="B13" s="679" t="s">
        <v>915</v>
      </c>
      <c r="C13" s="678">
        <v>112652</v>
      </c>
      <c r="D13" s="678"/>
      <c r="E13" s="678"/>
      <c r="F13" s="678">
        <v>9586</v>
      </c>
      <c r="G13" s="678"/>
      <c r="H13" s="678"/>
      <c r="I13" s="678"/>
      <c r="J13" s="678">
        <f t="shared" si="1"/>
        <v>122238</v>
      </c>
      <c r="K13" s="678">
        <f t="shared" si="2"/>
        <v>0</v>
      </c>
      <c r="L13" s="678">
        <f t="shared" si="3"/>
        <v>122238</v>
      </c>
      <c r="M13" s="678">
        <f>-140+5664</f>
        <v>5524</v>
      </c>
      <c r="N13" s="678"/>
      <c r="O13" s="678">
        <f t="shared" si="4"/>
        <v>127762</v>
      </c>
    </row>
    <row r="14" spans="1:16" s="677" customFormat="1" ht="16.5" thickBot="1" x14ac:dyDescent="0.3">
      <c r="A14" s="674"/>
      <c r="B14" s="675" t="s">
        <v>132</v>
      </c>
      <c r="C14" s="678"/>
      <c r="D14" s="678"/>
      <c r="E14" s="678"/>
      <c r="F14" s="678"/>
      <c r="G14" s="678"/>
      <c r="H14" s="678"/>
      <c r="I14" s="678"/>
      <c r="J14" s="678"/>
      <c r="K14" s="678"/>
      <c r="L14" s="678"/>
      <c r="M14" s="678"/>
      <c r="N14" s="678"/>
      <c r="O14" s="678"/>
    </row>
    <row r="15" spans="1:16" ht="17.25" thickTop="1" thickBot="1" x14ac:dyDescent="0.3">
      <c r="A15" s="667"/>
      <c r="B15" s="680" t="s">
        <v>379</v>
      </c>
      <c r="C15" s="680">
        <f>+C7+C11+C12+C13</f>
        <v>754692</v>
      </c>
      <c r="D15" s="680">
        <f t="shared" ref="D15:O15" si="5">+D7+D11+D12+D13</f>
        <v>0</v>
      </c>
      <c r="E15" s="680">
        <f t="shared" si="5"/>
        <v>0</v>
      </c>
      <c r="F15" s="680">
        <f t="shared" si="5"/>
        <v>36763</v>
      </c>
      <c r="G15" s="680">
        <f t="shared" si="5"/>
        <v>0</v>
      </c>
      <c r="H15" s="680">
        <f t="shared" si="5"/>
        <v>0</v>
      </c>
      <c r="I15" s="680">
        <f t="shared" si="5"/>
        <v>0</v>
      </c>
      <c r="J15" s="680">
        <f t="shared" si="5"/>
        <v>791455</v>
      </c>
      <c r="K15" s="680">
        <f t="shared" si="5"/>
        <v>0</v>
      </c>
      <c r="L15" s="680">
        <f t="shared" si="5"/>
        <v>791455</v>
      </c>
      <c r="M15" s="680">
        <f t="shared" si="5"/>
        <v>464621</v>
      </c>
      <c r="N15" s="680">
        <f t="shared" si="5"/>
        <v>108822</v>
      </c>
      <c r="O15" s="680">
        <f t="shared" si="5"/>
        <v>1364898</v>
      </c>
      <c r="P15" s="659">
        <f>O16+O17</f>
        <v>1364898</v>
      </c>
    </row>
    <row r="16" spans="1:16" ht="17.25" thickTop="1" thickBot="1" x14ac:dyDescent="0.3">
      <c r="A16" s="667"/>
      <c r="B16" s="680" t="s">
        <v>378</v>
      </c>
      <c r="C16" s="680">
        <f t="shared" ref="C16:O16" si="6">+C8+C11+C12+C13</f>
        <v>622017</v>
      </c>
      <c r="D16" s="680">
        <f t="shared" si="6"/>
        <v>0</v>
      </c>
      <c r="E16" s="680">
        <f t="shared" si="6"/>
        <v>0</v>
      </c>
      <c r="F16" s="680">
        <f t="shared" si="6"/>
        <v>36288</v>
      </c>
      <c r="G16" s="680">
        <f t="shared" si="6"/>
        <v>0</v>
      </c>
      <c r="H16" s="680">
        <f t="shared" si="6"/>
        <v>0</v>
      </c>
      <c r="I16" s="680">
        <f t="shared" si="6"/>
        <v>0</v>
      </c>
      <c r="J16" s="680">
        <f t="shared" si="6"/>
        <v>658305</v>
      </c>
      <c r="K16" s="680">
        <f t="shared" si="6"/>
        <v>0</v>
      </c>
      <c r="L16" s="680">
        <f t="shared" si="6"/>
        <v>658305</v>
      </c>
      <c r="M16" s="680">
        <f t="shared" si="6"/>
        <v>370407</v>
      </c>
      <c r="N16" s="680">
        <f t="shared" si="6"/>
        <v>108822</v>
      </c>
      <c r="O16" s="680">
        <f t="shared" si="6"/>
        <v>1137534</v>
      </c>
    </row>
    <row r="17" spans="1:16" ht="17.25" thickTop="1" thickBot="1" x14ac:dyDescent="0.3">
      <c r="A17" s="667"/>
      <c r="B17" s="680" t="s">
        <v>377</v>
      </c>
      <c r="C17" s="680">
        <f>+C9</f>
        <v>132675</v>
      </c>
      <c r="D17" s="680">
        <f t="shared" ref="D17:O17" si="7">+D9</f>
        <v>0</v>
      </c>
      <c r="E17" s="680">
        <f t="shared" si="7"/>
        <v>0</v>
      </c>
      <c r="F17" s="680">
        <f t="shared" si="7"/>
        <v>475</v>
      </c>
      <c r="G17" s="680">
        <f t="shared" si="7"/>
        <v>0</v>
      </c>
      <c r="H17" s="680">
        <f t="shared" si="7"/>
        <v>0</v>
      </c>
      <c r="I17" s="680">
        <f t="shared" si="7"/>
        <v>0</v>
      </c>
      <c r="J17" s="680">
        <f t="shared" si="7"/>
        <v>133150</v>
      </c>
      <c r="K17" s="680">
        <f t="shared" si="7"/>
        <v>0</v>
      </c>
      <c r="L17" s="680">
        <f t="shared" si="7"/>
        <v>133150</v>
      </c>
      <c r="M17" s="680">
        <f t="shared" si="7"/>
        <v>94214</v>
      </c>
      <c r="N17" s="680">
        <f t="shared" si="7"/>
        <v>0</v>
      </c>
      <c r="O17" s="680">
        <f t="shared" si="7"/>
        <v>227364</v>
      </c>
    </row>
    <row r="18" spans="1:16" ht="32.25" thickTop="1" x14ac:dyDescent="0.25">
      <c r="A18" s="671" t="s">
        <v>145</v>
      </c>
      <c r="B18" s="672" t="s">
        <v>409</v>
      </c>
      <c r="C18" s="672"/>
      <c r="D18" s="672"/>
      <c r="E18" s="672"/>
      <c r="F18" s="672"/>
      <c r="G18" s="672"/>
      <c r="H18" s="672"/>
      <c r="I18" s="672"/>
      <c r="J18" s="673"/>
      <c r="K18" s="673"/>
      <c r="L18" s="673"/>
      <c r="M18" s="673"/>
      <c r="N18" s="673"/>
      <c r="O18" s="673"/>
    </row>
    <row r="19" spans="1:16" x14ac:dyDescent="0.25">
      <c r="A19" s="671"/>
      <c r="B19" s="673" t="s">
        <v>347</v>
      </c>
      <c r="C19" s="673">
        <f>SUM(C20:C21)</f>
        <v>7577</v>
      </c>
      <c r="D19" s="673"/>
      <c r="E19" s="673"/>
      <c r="F19" s="673">
        <f>SUM(F20:F21)</f>
        <v>14572</v>
      </c>
      <c r="G19" s="673"/>
      <c r="H19" s="673"/>
      <c r="I19" s="673"/>
      <c r="J19" s="673">
        <f>SUM(C19+E19+F19+H19)</f>
        <v>22149</v>
      </c>
      <c r="K19" s="673">
        <f>SUM(D19+G19+I19)</f>
        <v>0</v>
      </c>
      <c r="L19" s="673">
        <f>SUM(J19:K19)</f>
        <v>22149</v>
      </c>
      <c r="M19" s="673">
        <f>SUM(M20:M21)</f>
        <v>130741</v>
      </c>
      <c r="N19" s="673">
        <f>SUM(N20:N21)</f>
        <v>1313</v>
      </c>
      <c r="O19" s="673">
        <f>SUM(L19:N19)</f>
        <v>154203</v>
      </c>
    </row>
    <row r="20" spans="1:16" s="677" customFormat="1" x14ac:dyDescent="0.25">
      <c r="A20" s="674"/>
      <c r="B20" s="675" t="s">
        <v>381</v>
      </c>
      <c r="C20" s="675">
        <v>7577</v>
      </c>
      <c r="D20" s="675"/>
      <c r="E20" s="675"/>
      <c r="F20" s="675">
        <v>5830</v>
      </c>
      <c r="G20" s="675"/>
      <c r="H20" s="675"/>
      <c r="I20" s="675"/>
      <c r="J20" s="676">
        <f>SUM(C20+E20+F20+H20)</f>
        <v>13407</v>
      </c>
      <c r="K20" s="676">
        <f>SUM(D20+G20+I20)</f>
        <v>0</v>
      </c>
      <c r="L20" s="676">
        <f>SUM(J20:K20)</f>
        <v>13407</v>
      </c>
      <c r="M20" s="676">
        <v>62818</v>
      </c>
      <c r="N20" s="676">
        <v>1313</v>
      </c>
      <c r="O20" s="676">
        <f>SUM(L20:N20)</f>
        <v>77538</v>
      </c>
    </row>
    <row r="21" spans="1:16" s="677" customFormat="1" x14ac:dyDescent="0.25">
      <c r="A21" s="674"/>
      <c r="B21" s="675" t="s">
        <v>380</v>
      </c>
      <c r="C21" s="675"/>
      <c r="D21" s="675"/>
      <c r="E21" s="675"/>
      <c r="F21" s="675">
        <v>8742</v>
      </c>
      <c r="G21" s="675"/>
      <c r="H21" s="675"/>
      <c r="I21" s="675"/>
      <c r="J21" s="676">
        <f>SUM(C21+E21+F21+H21)</f>
        <v>8742</v>
      </c>
      <c r="K21" s="676">
        <f>SUM(D21+G21+I21)</f>
        <v>0</v>
      </c>
      <c r="L21" s="676">
        <f>SUM(J21:K21)</f>
        <v>8742</v>
      </c>
      <c r="M21" s="676">
        <v>67923</v>
      </c>
      <c r="N21" s="676"/>
      <c r="O21" s="676">
        <f>SUM(L21:N21)</f>
        <v>76665</v>
      </c>
    </row>
    <row r="22" spans="1:16" s="677" customFormat="1" x14ac:dyDescent="0.25">
      <c r="A22" s="674"/>
      <c r="B22" s="675" t="s">
        <v>489</v>
      </c>
      <c r="C22" s="678"/>
      <c r="D22" s="678"/>
      <c r="E22" s="678"/>
      <c r="F22" s="678"/>
      <c r="G22" s="678"/>
      <c r="H22" s="678"/>
      <c r="I22" s="678"/>
      <c r="J22" s="678"/>
      <c r="K22" s="678"/>
      <c r="L22" s="678"/>
      <c r="M22" s="678"/>
      <c r="N22" s="678"/>
      <c r="O22" s="678"/>
    </row>
    <row r="23" spans="1:16" s="677" customFormat="1" ht="31.5" x14ac:dyDescent="0.25">
      <c r="A23" s="674"/>
      <c r="B23" s="678" t="s">
        <v>1235</v>
      </c>
      <c r="C23" s="678"/>
      <c r="D23" s="678"/>
      <c r="E23" s="678"/>
      <c r="F23" s="678"/>
      <c r="G23" s="678"/>
      <c r="H23" s="678"/>
      <c r="I23" s="678"/>
      <c r="J23" s="678">
        <f t="shared" ref="J23:J25" si="8">SUM(C23+E23+F23+H23)</f>
        <v>0</v>
      </c>
      <c r="K23" s="678">
        <f t="shared" ref="K23:K25" si="9">SUM(D23+G23+I23)</f>
        <v>0</v>
      </c>
      <c r="L23" s="678">
        <f t="shared" ref="L23:L25" si="10">SUM(J23:K23)</f>
        <v>0</v>
      </c>
      <c r="M23" s="678">
        <v>142</v>
      </c>
      <c r="N23" s="678">
        <v>-142</v>
      </c>
      <c r="O23" s="678">
        <f t="shared" ref="O23:O25" si="11">SUM(L23:N23)</f>
        <v>0</v>
      </c>
    </row>
    <row r="24" spans="1:16" s="677" customFormat="1" ht="31.5" x14ac:dyDescent="0.25">
      <c r="A24" s="674"/>
      <c r="B24" s="678" t="s">
        <v>1236</v>
      </c>
      <c r="C24" s="678"/>
      <c r="D24" s="673"/>
      <c r="E24" s="678"/>
      <c r="F24" s="678"/>
      <c r="G24" s="678"/>
      <c r="H24" s="678"/>
      <c r="I24" s="678"/>
      <c r="J24" s="678">
        <f t="shared" si="8"/>
        <v>0</v>
      </c>
      <c r="K24" s="678">
        <f t="shared" si="9"/>
        <v>0</v>
      </c>
      <c r="L24" s="678">
        <f t="shared" si="10"/>
        <v>0</v>
      </c>
      <c r="M24" s="678">
        <v>-3</v>
      </c>
      <c r="N24" s="678"/>
      <c r="O24" s="678">
        <f t="shared" si="11"/>
        <v>-3</v>
      </c>
    </row>
    <row r="25" spans="1:16" s="677" customFormat="1" ht="31.5" x14ac:dyDescent="0.25">
      <c r="A25" s="674"/>
      <c r="B25" s="679" t="s">
        <v>915</v>
      </c>
      <c r="C25" s="678"/>
      <c r="D25" s="678"/>
      <c r="E25" s="678"/>
      <c r="F25" s="678">
        <v>457</v>
      </c>
      <c r="G25" s="678"/>
      <c r="H25" s="678"/>
      <c r="I25" s="678"/>
      <c r="J25" s="678">
        <f t="shared" si="8"/>
        <v>457</v>
      </c>
      <c r="K25" s="678">
        <f t="shared" si="9"/>
        <v>0</v>
      </c>
      <c r="L25" s="678">
        <f t="shared" si="10"/>
        <v>457</v>
      </c>
      <c r="M25" s="678"/>
      <c r="N25" s="678"/>
      <c r="O25" s="678">
        <f t="shared" si="11"/>
        <v>457</v>
      </c>
    </row>
    <row r="26" spans="1:16" s="677" customFormat="1" ht="16.5" thickBot="1" x14ac:dyDescent="0.3">
      <c r="A26" s="674"/>
      <c r="B26" s="675" t="s">
        <v>132</v>
      </c>
      <c r="C26" s="678"/>
      <c r="D26" s="678"/>
      <c r="E26" s="678"/>
      <c r="F26" s="678"/>
      <c r="G26" s="678"/>
      <c r="H26" s="678"/>
      <c r="I26" s="678"/>
      <c r="J26" s="678"/>
      <c r="K26" s="678"/>
      <c r="L26" s="678"/>
      <c r="M26" s="678"/>
      <c r="N26" s="678"/>
      <c r="O26" s="678"/>
    </row>
    <row r="27" spans="1:16" ht="17.25" thickTop="1" thickBot="1" x14ac:dyDescent="0.3">
      <c r="A27" s="667"/>
      <c r="B27" s="680" t="s">
        <v>379</v>
      </c>
      <c r="C27" s="680">
        <f>+C19+C23+C24+C25</f>
        <v>7577</v>
      </c>
      <c r="D27" s="680">
        <f t="shared" ref="D27:O27" si="12">+D19+D23+D24+D25</f>
        <v>0</v>
      </c>
      <c r="E27" s="680">
        <f t="shared" si="12"/>
        <v>0</v>
      </c>
      <c r="F27" s="680">
        <f t="shared" si="12"/>
        <v>15029</v>
      </c>
      <c r="G27" s="680">
        <f t="shared" si="12"/>
        <v>0</v>
      </c>
      <c r="H27" s="680">
        <f t="shared" si="12"/>
        <v>0</v>
      </c>
      <c r="I27" s="680">
        <f t="shared" si="12"/>
        <v>0</v>
      </c>
      <c r="J27" s="680">
        <f t="shared" si="12"/>
        <v>22606</v>
      </c>
      <c r="K27" s="680">
        <f t="shared" si="12"/>
        <v>0</v>
      </c>
      <c r="L27" s="680">
        <f t="shared" si="12"/>
        <v>22606</v>
      </c>
      <c r="M27" s="680">
        <f t="shared" si="12"/>
        <v>130880</v>
      </c>
      <c r="N27" s="680">
        <f t="shared" si="12"/>
        <v>1171</v>
      </c>
      <c r="O27" s="680">
        <f t="shared" si="12"/>
        <v>154657</v>
      </c>
      <c r="P27" s="659">
        <f>O28+O29</f>
        <v>154657</v>
      </c>
    </row>
    <row r="28" spans="1:16" ht="17.25" thickTop="1" thickBot="1" x14ac:dyDescent="0.3">
      <c r="A28" s="667"/>
      <c r="B28" s="680" t="s">
        <v>378</v>
      </c>
      <c r="C28" s="680">
        <f t="shared" ref="C28:O28" si="13">+C20+C23+C24+C25</f>
        <v>7577</v>
      </c>
      <c r="D28" s="680">
        <f t="shared" si="13"/>
        <v>0</v>
      </c>
      <c r="E28" s="680">
        <f t="shared" si="13"/>
        <v>0</v>
      </c>
      <c r="F28" s="680">
        <f t="shared" si="13"/>
        <v>6287</v>
      </c>
      <c r="G28" s="680">
        <f t="shared" si="13"/>
        <v>0</v>
      </c>
      <c r="H28" s="680">
        <f t="shared" si="13"/>
        <v>0</v>
      </c>
      <c r="I28" s="680">
        <f t="shared" si="13"/>
        <v>0</v>
      </c>
      <c r="J28" s="680">
        <f t="shared" si="13"/>
        <v>13864</v>
      </c>
      <c r="K28" s="680">
        <f t="shared" si="13"/>
        <v>0</v>
      </c>
      <c r="L28" s="680">
        <f t="shared" si="13"/>
        <v>13864</v>
      </c>
      <c r="M28" s="680">
        <f t="shared" si="13"/>
        <v>62957</v>
      </c>
      <c r="N28" s="680">
        <f t="shared" si="13"/>
        <v>1171</v>
      </c>
      <c r="O28" s="680">
        <f t="shared" si="13"/>
        <v>77992</v>
      </c>
    </row>
    <row r="29" spans="1:16" ht="17.25" thickTop="1" thickBot="1" x14ac:dyDescent="0.3">
      <c r="A29" s="667"/>
      <c r="B29" s="680" t="s">
        <v>377</v>
      </c>
      <c r="C29" s="680">
        <f>+C21</f>
        <v>0</v>
      </c>
      <c r="D29" s="680">
        <f t="shared" ref="D29:O29" si="14">+D21</f>
        <v>0</v>
      </c>
      <c r="E29" s="680">
        <f t="shared" si="14"/>
        <v>0</v>
      </c>
      <c r="F29" s="680">
        <f t="shared" si="14"/>
        <v>8742</v>
      </c>
      <c r="G29" s="680">
        <f t="shared" si="14"/>
        <v>0</v>
      </c>
      <c r="H29" s="680">
        <f t="shared" si="14"/>
        <v>0</v>
      </c>
      <c r="I29" s="680">
        <f t="shared" si="14"/>
        <v>0</v>
      </c>
      <c r="J29" s="680">
        <f t="shared" si="14"/>
        <v>8742</v>
      </c>
      <c r="K29" s="680">
        <f t="shared" si="14"/>
        <v>0</v>
      </c>
      <c r="L29" s="680">
        <f t="shared" si="14"/>
        <v>8742</v>
      </c>
      <c r="M29" s="680">
        <f t="shared" si="14"/>
        <v>67923</v>
      </c>
      <c r="N29" s="680">
        <f t="shared" si="14"/>
        <v>0</v>
      </c>
      <c r="O29" s="680">
        <f t="shared" si="14"/>
        <v>76665</v>
      </c>
    </row>
    <row r="30" spans="1:16" ht="17.25" thickTop="1" thickBot="1" x14ac:dyDescent="0.3">
      <c r="A30" s="667"/>
      <c r="B30" s="680" t="s">
        <v>408</v>
      </c>
      <c r="C30" s="680">
        <f t="shared" ref="C30:O30" si="15">SUM(C15+C27)</f>
        <v>762269</v>
      </c>
      <c r="D30" s="680">
        <f t="shared" si="15"/>
        <v>0</v>
      </c>
      <c r="E30" s="680">
        <f t="shared" si="15"/>
        <v>0</v>
      </c>
      <c r="F30" s="680">
        <f t="shared" si="15"/>
        <v>51792</v>
      </c>
      <c r="G30" s="680">
        <f t="shared" si="15"/>
        <v>0</v>
      </c>
      <c r="H30" s="680">
        <f t="shared" si="15"/>
        <v>0</v>
      </c>
      <c r="I30" s="680">
        <f t="shared" si="15"/>
        <v>0</v>
      </c>
      <c r="J30" s="680">
        <f t="shared" si="15"/>
        <v>814061</v>
      </c>
      <c r="K30" s="680">
        <f t="shared" si="15"/>
        <v>0</v>
      </c>
      <c r="L30" s="680">
        <f t="shared" si="15"/>
        <v>814061</v>
      </c>
      <c r="M30" s="680">
        <f t="shared" si="15"/>
        <v>595501</v>
      </c>
      <c r="N30" s="680">
        <f t="shared" si="15"/>
        <v>109993</v>
      </c>
      <c r="O30" s="680">
        <f t="shared" si="15"/>
        <v>1519555</v>
      </c>
    </row>
    <row r="31" spans="1:16" ht="16.5" thickTop="1" x14ac:dyDescent="0.25">
      <c r="A31" s="671" t="s">
        <v>146</v>
      </c>
      <c r="B31" s="681" t="s">
        <v>407</v>
      </c>
      <c r="C31" s="681"/>
      <c r="D31" s="681"/>
      <c r="E31" s="681"/>
      <c r="F31" s="681"/>
      <c r="G31" s="681"/>
      <c r="H31" s="681"/>
      <c r="I31" s="681"/>
      <c r="J31" s="681"/>
      <c r="K31" s="681"/>
      <c r="L31" s="681"/>
      <c r="M31" s="681"/>
      <c r="N31" s="681"/>
      <c r="O31" s="681"/>
    </row>
    <row r="32" spans="1:16" x14ac:dyDescent="0.25">
      <c r="A32" s="682"/>
      <c r="B32" s="672" t="s">
        <v>912</v>
      </c>
      <c r="C32" s="672">
        <f>SUM(C33:C34)</f>
        <v>7274</v>
      </c>
      <c r="D32" s="672"/>
      <c r="E32" s="672"/>
      <c r="F32" s="672">
        <f>SUM(F33:F34)</f>
        <v>1702</v>
      </c>
      <c r="G32" s="672"/>
      <c r="H32" s="672"/>
      <c r="I32" s="672"/>
      <c r="J32" s="672">
        <f>SUM(C32+E32+F32+H32)</f>
        <v>8976</v>
      </c>
      <c r="K32" s="672">
        <f>SUM(D32+G32+I32)</f>
        <v>0</v>
      </c>
      <c r="L32" s="672">
        <f>SUM(J32:K32)</f>
        <v>8976</v>
      </c>
      <c r="M32" s="672">
        <f>SUM(M33:M34)</f>
        <v>103044</v>
      </c>
      <c r="N32" s="672">
        <f>SUM(N33:N34)</f>
        <v>486</v>
      </c>
      <c r="O32" s="672">
        <f>SUM(L32:N32)</f>
        <v>112506</v>
      </c>
    </row>
    <row r="33" spans="1:16" s="677" customFormat="1" x14ac:dyDescent="0.25">
      <c r="A33" s="683"/>
      <c r="B33" s="684" t="s">
        <v>381</v>
      </c>
      <c r="C33" s="684">
        <v>7274</v>
      </c>
      <c r="D33" s="684"/>
      <c r="E33" s="684"/>
      <c r="F33" s="684">
        <v>1702</v>
      </c>
      <c r="G33" s="684"/>
      <c r="H33" s="684"/>
      <c r="I33" s="684"/>
      <c r="J33" s="685">
        <f>SUM(C33+E33+F33+H33)</f>
        <v>8976</v>
      </c>
      <c r="K33" s="685">
        <f>SUM(D33+G33+I33)</f>
        <v>0</v>
      </c>
      <c r="L33" s="685">
        <f>SUM(J33:K33)</f>
        <v>8976</v>
      </c>
      <c r="M33" s="685">
        <v>100235</v>
      </c>
      <c r="N33" s="685">
        <v>486</v>
      </c>
      <c r="O33" s="685">
        <f>SUM(L33:N33)</f>
        <v>109697</v>
      </c>
    </row>
    <row r="34" spans="1:16" s="677" customFormat="1" x14ac:dyDescent="0.25">
      <c r="A34" s="683"/>
      <c r="B34" s="684" t="s">
        <v>380</v>
      </c>
      <c r="C34" s="684"/>
      <c r="D34" s="684"/>
      <c r="E34" s="684"/>
      <c r="F34" s="684"/>
      <c r="G34" s="684"/>
      <c r="H34" s="684"/>
      <c r="I34" s="684"/>
      <c r="J34" s="685">
        <f>SUM(C34+E34+F34+H34)</f>
        <v>0</v>
      </c>
      <c r="K34" s="685">
        <f>SUM(D34+G34+I34)</f>
        <v>0</v>
      </c>
      <c r="L34" s="685">
        <f>SUM(J34:K34)</f>
        <v>0</v>
      </c>
      <c r="M34" s="685">
        <v>2809</v>
      </c>
      <c r="N34" s="685"/>
      <c r="O34" s="685">
        <f>SUM(L34:N34)</f>
        <v>2809</v>
      </c>
    </row>
    <row r="35" spans="1:16" s="677" customFormat="1" x14ac:dyDescent="0.25">
      <c r="A35" s="683"/>
      <c r="B35" s="684" t="s">
        <v>131</v>
      </c>
      <c r="C35" s="686"/>
      <c r="D35" s="686"/>
      <c r="E35" s="686"/>
      <c r="F35" s="686"/>
      <c r="G35" s="686"/>
      <c r="H35" s="686"/>
      <c r="I35" s="686"/>
      <c r="J35" s="686"/>
      <c r="K35" s="686"/>
      <c r="L35" s="686"/>
      <c r="M35" s="686"/>
      <c r="N35" s="686"/>
      <c r="O35" s="686"/>
    </row>
    <row r="36" spans="1:16" s="677" customFormat="1" ht="31.5" x14ac:dyDescent="0.25">
      <c r="A36" s="683"/>
      <c r="B36" s="678" t="s">
        <v>1235</v>
      </c>
      <c r="C36" s="686"/>
      <c r="D36" s="686"/>
      <c r="E36" s="686"/>
      <c r="F36" s="686"/>
      <c r="G36" s="686"/>
      <c r="H36" s="686"/>
      <c r="I36" s="686"/>
      <c r="J36" s="686">
        <f t="shared" ref="J36" si="16">SUM(C36+E36+F36+H36)</f>
        <v>0</v>
      </c>
      <c r="K36" s="686">
        <f t="shared" ref="K36" si="17">SUM(D36+G36+I36)</f>
        <v>0</v>
      </c>
      <c r="L36" s="686">
        <f t="shared" ref="L36" si="18">SUM(J36:K36)</f>
        <v>0</v>
      </c>
      <c r="M36" s="686">
        <v>124</v>
      </c>
      <c r="N36" s="686">
        <v>-124</v>
      </c>
      <c r="O36" s="686">
        <f t="shared" ref="O36" si="19">SUM(L36:N36)</f>
        <v>0</v>
      </c>
    </row>
    <row r="37" spans="1:16" s="677" customFormat="1" ht="16.5" thickBot="1" x14ac:dyDescent="0.3">
      <c r="A37" s="683"/>
      <c r="B37" s="684" t="s">
        <v>490</v>
      </c>
      <c r="C37" s="686"/>
      <c r="D37" s="686"/>
      <c r="E37" s="686"/>
      <c r="F37" s="686"/>
      <c r="G37" s="686"/>
      <c r="H37" s="686"/>
      <c r="I37" s="686"/>
      <c r="J37" s="686"/>
      <c r="K37" s="686"/>
      <c r="L37" s="686"/>
      <c r="M37" s="686"/>
      <c r="N37" s="686"/>
      <c r="O37" s="686"/>
    </row>
    <row r="38" spans="1:16" ht="17.25" thickTop="1" thickBot="1" x14ac:dyDescent="0.3">
      <c r="A38" s="667"/>
      <c r="B38" s="680" t="s">
        <v>379</v>
      </c>
      <c r="C38" s="680">
        <f>+C32+C36</f>
        <v>7274</v>
      </c>
      <c r="D38" s="680">
        <f t="shared" ref="D38:O38" si="20">+D32+D36</f>
        <v>0</v>
      </c>
      <c r="E38" s="680">
        <f t="shared" si="20"/>
        <v>0</v>
      </c>
      <c r="F38" s="680">
        <f t="shared" si="20"/>
        <v>1702</v>
      </c>
      <c r="G38" s="680">
        <f t="shared" si="20"/>
        <v>0</v>
      </c>
      <c r="H38" s="680">
        <f t="shared" si="20"/>
        <v>0</v>
      </c>
      <c r="I38" s="680">
        <f t="shared" si="20"/>
        <v>0</v>
      </c>
      <c r="J38" s="680">
        <f t="shared" si="20"/>
        <v>8976</v>
      </c>
      <c r="K38" s="680">
        <f t="shared" si="20"/>
        <v>0</v>
      </c>
      <c r="L38" s="680">
        <f t="shared" si="20"/>
        <v>8976</v>
      </c>
      <c r="M38" s="680">
        <f t="shared" si="20"/>
        <v>103168</v>
      </c>
      <c r="N38" s="680">
        <f t="shared" si="20"/>
        <v>362</v>
      </c>
      <c r="O38" s="680">
        <f t="shared" si="20"/>
        <v>112506</v>
      </c>
      <c r="P38" s="659">
        <f>O39+O40</f>
        <v>112506</v>
      </c>
    </row>
    <row r="39" spans="1:16" ht="17.25" thickTop="1" thickBot="1" x14ac:dyDescent="0.3">
      <c r="A39" s="667"/>
      <c r="B39" s="680" t="s">
        <v>378</v>
      </c>
      <c r="C39" s="680">
        <f>+C33+C36</f>
        <v>7274</v>
      </c>
      <c r="D39" s="680">
        <f t="shared" ref="D39:O39" si="21">+D33+D36</f>
        <v>0</v>
      </c>
      <c r="E39" s="680">
        <f t="shared" si="21"/>
        <v>0</v>
      </c>
      <c r="F39" s="680">
        <f t="shared" si="21"/>
        <v>1702</v>
      </c>
      <c r="G39" s="680">
        <f t="shared" si="21"/>
        <v>0</v>
      </c>
      <c r="H39" s="680">
        <f t="shared" si="21"/>
        <v>0</v>
      </c>
      <c r="I39" s="680">
        <f t="shared" si="21"/>
        <v>0</v>
      </c>
      <c r="J39" s="680">
        <f t="shared" si="21"/>
        <v>8976</v>
      </c>
      <c r="K39" s="680">
        <f t="shared" si="21"/>
        <v>0</v>
      </c>
      <c r="L39" s="680">
        <f t="shared" si="21"/>
        <v>8976</v>
      </c>
      <c r="M39" s="680">
        <f t="shared" si="21"/>
        <v>100359</v>
      </c>
      <c r="N39" s="680">
        <f t="shared" si="21"/>
        <v>362</v>
      </c>
      <c r="O39" s="680">
        <f t="shared" si="21"/>
        <v>109697</v>
      </c>
    </row>
    <row r="40" spans="1:16" ht="17.25" thickTop="1" thickBot="1" x14ac:dyDescent="0.3">
      <c r="A40" s="667"/>
      <c r="B40" s="680" t="s">
        <v>377</v>
      </c>
      <c r="C40" s="680">
        <f>+C34</f>
        <v>0</v>
      </c>
      <c r="D40" s="680">
        <f t="shared" ref="D40:O40" si="22">+D34</f>
        <v>0</v>
      </c>
      <c r="E40" s="680">
        <f t="shared" si="22"/>
        <v>0</v>
      </c>
      <c r="F40" s="680">
        <f t="shared" si="22"/>
        <v>0</v>
      </c>
      <c r="G40" s="680">
        <f t="shared" si="22"/>
        <v>0</v>
      </c>
      <c r="H40" s="680">
        <f t="shared" si="22"/>
        <v>0</v>
      </c>
      <c r="I40" s="680">
        <f t="shared" si="22"/>
        <v>0</v>
      </c>
      <c r="J40" s="680">
        <f t="shared" si="22"/>
        <v>0</v>
      </c>
      <c r="K40" s="680">
        <f t="shared" si="22"/>
        <v>0</v>
      </c>
      <c r="L40" s="680">
        <f t="shared" si="22"/>
        <v>0</v>
      </c>
      <c r="M40" s="680">
        <f t="shared" si="22"/>
        <v>2809</v>
      </c>
      <c r="N40" s="680">
        <f t="shared" si="22"/>
        <v>0</v>
      </c>
      <c r="O40" s="680">
        <f t="shared" si="22"/>
        <v>2809</v>
      </c>
    </row>
    <row r="41" spans="1:16" ht="16.5" thickTop="1" x14ac:dyDescent="0.25">
      <c r="A41" s="671" t="s">
        <v>147</v>
      </c>
      <c r="B41" s="672" t="s">
        <v>782</v>
      </c>
      <c r="C41" s="672"/>
      <c r="D41" s="672"/>
      <c r="E41" s="672"/>
      <c r="F41" s="672"/>
      <c r="G41" s="672"/>
      <c r="H41" s="672"/>
      <c r="I41" s="672"/>
      <c r="J41" s="672"/>
      <c r="K41" s="672"/>
      <c r="L41" s="672"/>
      <c r="M41" s="672"/>
      <c r="N41" s="672"/>
      <c r="O41" s="672"/>
    </row>
    <row r="42" spans="1:16" x14ac:dyDescent="0.25">
      <c r="A42" s="671"/>
      <c r="B42" s="673" t="s">
        <v>347</v>
      </c>
      <c r="C42" s="673">
        <f>SUM(C43:C44)</f>
        <v>7363</v>
      </c>
      <c r="D42" s="673"/>
      <c r="E42" s="673"/>
      <c r="F42" s="673">
        <f>SUM(F43:F44)</f>
        <v>1882</v>
      </c>
      <c r="G42" s="673"/>
      <c r="H42" s="673"/>
      <c r="I42" s="673"/>
      <c r="J42" s="673">
        <f>SUM(C42+E42+F42+H42)</f>
        <v>9245</v>
      </c>
      <c r="K42" s="673">
        <f>SUM(D42+G42+I42)</f>
        <v>0</v>
      </c>
      <c r="L42" s="673">
        <f>SUM(J42:K42)</f>
        <v>9245</v>
      </c>
      <c r="M42" s="673">
        <f>SUM(M43:M44)</f>
        <v>113709</v>
      </c>
      <c r="N42" s="673">
        <f>SUM(N43:N44)</f>
        <v>244</v>
      </c>
      <c r="O42" s="673">
        <f>SUM(L42:N42)</f>
        <v>123198</v>
      </c>
    </row>
    <row r="43" spans="1:16" s="677" customFormat="1" x14ac:dyDescent="0.25">
      <c r="A43" s="674"/>
      <c r="B43" s="675" t="s">
        <v>381</v>
      </c>
      <c r="C43" s="675">
        <v>7363</v>
      </c>
      <c r="D43" s="675"/>
      <c r="E43" s="675"/>
      <c r="F43" s="675">
        <v>1882</v>
      </c>
      <c r="G43" s="675"/>
      <c r="H43" s="675"/>
      <c r="I43" s="675"/>
      <c r="J43" s="676">
        <f>SUM(C43+E43+F43+H43)</f>
        <v>9245</v>
      </c>
      <c r="K43" s="676">
        <f>SUM(D43+G43+I43)</f>
        <v>0</v>
      </c>
      <c r="L43" s="676">
        <f>SUM(J43:K43)</f>
        <v>9245</v>
      </c>
      <c r="M43" s="676">
        <v>110906</v>
      </c>
      <c r="N43" s="676">
        <v>244</v>
      </c>
      <c r="O43" s="676">
        <f>SUM(L43:N43)</f>
        <v>120395</v>
      </c>
    </row>
    <row r="44" spans="1:16" s="677" customFormat="1" x14ac:dyDescent="0.25">
      <c r="A44" s="674"/>
      <c r="B44" s="675" t="s">
        <v>380</v>
      </c>
      <c r="C44" s="675"/>
      <c r="D44" s="675"/>
      <c r="E44" s="675"/>
      <c r="F44" s="675"/>
      <c r="G44" s="675"/>
      <c r="H44" s="675"/>
      <c r="I44" s="675"/>
      <c r="J44" s="676">
        <f>SUM(C44+E44+F44+H44)</f>
        <v>0</v>
      </c>
      <c r="K44" s="676">
        <f>SUM(D44+G44+I44)</f>
        <v>0</v>
      </c>
      <c r="L44" s="676">
        <f>SUM(J44:K44)</f>
        <v>0</v>
      </c>
      <c r="M44" s="676">
        <v>2803</v>
      </c>
      <c r="N44" s="676"/>
      <c r="O44" s="676">
        <f>SUM(L44:N44)</f>
        <v>2803</v>
      </c>
    </row>
    <row r="45" spans="1:16" s="677" customFormat="1" x14ac:dyDescent="0.25">
      <c r="A45" s="674"/>
      <c r="B45" s="675" t="s">
        <v>131</v>
      </c>
      <c r="C45" s="678"/>
      <c r="D45" s="678"/>
      <c r="E45" s="678"/>
      <c r="F45" s="678"/>
      <c r="G45" s="678"/>
      <c r="H45" s="678"/>
      <c r="I45" s="678"/>
      <c r="J45" s="678"/>
      <c r="K45" s="678"/>
      <c r="L45" s="678"/>
      <c r="M45" s="678"/>
      <c r="N45" s="678"/>
      <c r="O45" s="678"/>
    </row>
    <row r="46" spans="1:16" s="677" customFormat="1" ht="31.5" x14ac:dyDescent="0.25">
      <c r="A46" s="683"/>
      <c r="B46" s="686" t="s">
        <v>1235</v>
      </c>
      <c r="C46" s="686"/>
      <c r="D46" s="686"/>
      <c r="E46" s="686"/>
      <c r="F46" s="686"/>
      <c r="G46" s="686"/>
      <c r="H46" s="686"/>
      <c r="I46" s="686"/>
      <c r="J46" s="686">
        <f t="shared" ref="J46:J48" si="23">SUM(C46+E46+F46+H46)</f>
        <v>0</v>
      </c>
      <c r="K46" s="686">
        <f t="shared" ref="K46:K48" si="24">SUM(D46+G46+I46)</f>
        <v>0</v>
      </c>
      <c r="L46" s="686">
        <f t="shared" ref="L46:L48" si="25">SUM(J46:K46)</f>
        <v>0</v>
      </c>
      <c r="M46" s="686">
        <v>-199</v>
      </c>
      <c r="N46" s="686">
        <v>199</v>
      </c>
      <c r="O46" s="686">
        <f t="shared" ref="O46:O48" si="26">SUM(L46:N46)</f>
        <v>0</v>
      </c>
    </row>
    <row r="47" spans="1:16" s="677" customFormat="1" ht="47.25" x14ac:dyDescent="0.25">
      <c r="A47" s="683"/>
      <c r="B47" s="724" t="s">
        <v>1215</v>
      </c>
      <c r="C47" s="686"/>
      <c r="D47" s="686"/>
      <c r="E47" s="686"/>
      <c r="F47" s="686"/>
      <c r="G47" s="686"/>
      <c r="H47" s="686"/>
      <c r="I47" s="686"/>
      <c r="J47" s="686">
        <f t="shared" si="23"/>
        <v>0</v>
      </c>
      <c r="K47" s="686">
        <f t="shared" si="24"/>
        <v>0</v>
      </c>
      <c r="L47" s="686">
        <f t="shared" si="25"/>
        <v>0</v>
      </c>
      <c r="M47" s="686">
        <v>185</v>
      </c>
      <c r="N47" s="686"/>
      <c r="O47" s="686">
        <f t="shared" si="26"/>
        <v>185</v>
      </c>
    </row>
    <row r="48" spans="1:16" s="677" customFormat="1" ht="31.5" x14ac:dyDescent="0.25">
      <c r="A48" s="674"/>
      <c r="B48" s="679" t="s">
        <v>915</v>
      </c>
      <c r="C48" s="678"/>
      <c r="D48" s="678"/>
      <c r="E48" s="678"/>
      <c r="F48" s="678">
        <v>941</v>
      </c>
      <c r="G48" s="678"/>
      <c r="H48" s="678"/>
      <c r="I48" s="678"/>
      <c r="J48" s="678">
        <f t="shared" si="23"/>
        <v>941</v>
      </c>
      <c r="K48" s="678">
        <f t="shared" si="24"/>
        <v>0</v>
      </c>
      <c r="L48" s="678">
        <f t="shared" si="25"/>
        <v>941</v>
      </c>
      <c r="M48" s="678"/>
      <c r="N48" s="678"/>
      <c r="O48" s="678">
        <f t="shared" si="26"/>
        <v>941</v>
      </c>
    </row>
    <row r="49" spans="1:16" s="677" customFormat="1" ht="16.5" thickBot="1" x14ac:dyDescent="0.3">
      <c r="A49" s="674"/>
      <c r="B49" s="675" t="s">
        <v>132</v>
      </c>
      <c r="C49" s="678"/>
      <c r="D49" s="678"/>
      <c r="E49" s="678"/>
      <c r="F49" s="678"/>
      <c r="G49" s="678"/>
      <c r="H49" s="678"/>
      <c r="I49" s="678"/>
      <c r="J49" s="678"/>
      <c r="K49" s="678"/>
      <c r="L49" s="678"/>
      <c r="M49" s="678"/>
      <c r="N49" s="678"/>
      <c r="O49" s="678"/>
    </row>
    <row r="50" spans="1:16" ht="16.5" customHeight="1" thickTop="1" thickBot="1" x14ac:dyDescent="0.3">
      <c r="A50" s="667"/>
      <c r="B50" s="680" t="s">
        <v>379</v>
      </c>
      <c r="C50" s="680">
        <f>+C42+C46+C47+C48</f>
        <v>7363</v>
      </c>
      <c r="D50" s="680">
        <f t="shared" ref="D50:O50" si="27">+D42+D46+D47+D48</f>
        <v>0</v>
      </c>
      <c r="E50" s="680">
        <f t="shared" si="27"/>
        <v>0</v>
      </c>
      <c r="F50" s="680">
        <f t="shared" si="27"/>
        <v>2823</v>
      </c>
      <c r="G50" s="680">
        <f t="shared" si="27"/>
        <v>0</v>
      </c>
      <c r="H50" s="680">
        <f t="shared" si="27"/>
        <v>0</v>
      </c>
      <c r="I50" s="680">
        <f t="shared" si="27"/>
        <v>0</v>
      </c>
      <c r="J50" s="680">
        <f t="shared" si="27"/>
        <v>10186</v>
      </c>
      <c r="K50" s="680">
        <f t="shared" si="27"/>
        <v>0</v>
      </c>
      <c r="L50" s="680">
        <f t="shared" si="27"/>
        <v>10186</v>
      </c>
      <c r="M50" s="680">
        <f t="shared" si="27"/>
        <v>113695</v>
      </c>
      <c r="N50" s="680">
        <f t="shared" si="27"/>
        <v>443</v>
      </c>
      <c r="O50" s="680">
        <f t="shared" si="27"/>
        <v>124324</v>
      </c>
      <c r="P50" s="659">
        <f>O51+O52</f>
        <v>124324</v>
      </c>
    </row>
    <row r="51" spans="1:16" ht="17.25" thickTop="1" thickBot="1" x14ac:dyDescent="0.3">
      <c r="A51" s="667"/>
      <c r="B51" s="680" t="s">
        <v>378</v>
      </c>
      <c r="C51" s="680">
        <f t="shared" ref="C51:O51" si="28">+C43+C46+C47+C48</f>
        <v>7363</v>
      </c>
      <c r="D51" s="680">
        <f t="shared" si="28"/>
        <v>0</v>
      </c>
      <c r="E51" s="680">
        <f t="shared" si="28"/>
        <v>0</v>
      </c>
      <c r="F51" s="680">
        <f t="shared" si="28"/>
        <v>2823</v>
      </c>
      <c r="G51" s="680">
        <f t="shared" si="28"/>
        <v>0</v>
      </c>
      <c r="H51" s="680">
        <f t="shared" si="28"/>
        <v>0</v>
      </c>
      <c r="I51" s="680">
        <f t="shared" si="28"/>
        <v>0</v>
      </c>
      <c r="J51" s="680">
        <f t="shared" si="28"/>
        <v>10186</v>
      </c>
      <c r="K51" s="680">
        <f t="shared" si="28"/>
        <v>0</v>
      </c>
      <c r="L51" s="680">
        <f t="shared" si="28"/>
        <v>10186</v>
      </c>
      <c r="M51" s="680">
        <f t="shared" si="28"/>
        <v>110892</v>
      </c>
      <c r="N51" s="680">
        <f t="shared" si="28"/>
        <v>443</v>
      </c>
      <c r="O51" s="680">
        <f t="shared" si="28"/>
        <v>121521</v>
      </c>
    </row>
    <row r="52" spans="1:16" ht="17.25" thickTop="1" thickBot="1" x14ac:dyDescent="0.3">
      <c r="A52" s="667"/>
      <c r="B52" s="680" t="s">
        <v>377</v>
      </c>
      <c r="C52" s="680">
        <f>+C44</f>
        <v>0</v>
      </c>
      <c r="D52" s="680">
        <f t="shared" ref="D52:O52" si="29">+D44</f>
        <v>0</v>
      </c>
      <c r="E52" s="680">
        <f t="shared" si="29"/>
        <v>0</v>
      </c>
      <c r="F52" s="680">
        <f t="shared" si="29"/>
        <v>0</v>
      </c>
      <c r="G52" s="680">
        <f t="shared" si="29"/>
        <v>0</v>
      </c>
      <c r="H52" s="680">
        <f t="shared" si="29"/>
        <v>0</v>
      </c>
      <c r="I52" s="680">
        <f t="shared" si="29"/>
        <v>0</v>
      </c>
      <c r="J52" s="680">
        <f t="shared" si="29"/>
        <v>0</v>
      </c>
      <c r="K52" s="680">
        <f t="shared" si="29"/>
        <v>0</v>
      </c>
      <c r="L52" s="680">
        <f t="shared" si="29"/>
        <v>0</v>
      </c>
      <c r="M52" s="680">
        <f t="shared" si="29"/>
        <v>2803</v>
      </c>
      <c r="N52" s="680">
        <f t="shared" si="29"/>
        <v>0</v>
      </c>
      <c r="O52" s="680">
        <f t="shared" si="29"/>
        <v>2803</v>
      </c>
    </row>
    <row r="53" spans="1:16" ht="16.5" thickTop="1" x14ac:dyDescent="0.25">
      <c r="A53" s="671" t="s">
        <v>148</v>
      </c>
      <c r="B53" s="672" t="s">
        <v>406</v>
      </c>
      <c r="C53" s="672"/>
      <c r="D53" s="672"/>
      <c r="E53" s="672"/>
      <c r="F53" s="672"/>
      <c r="G53" s="672"/>
      <c r="H53" s="672"/>
      <c r="I53" s="672"/>
      <c r="J53" s="672"/>
      <c r="K53" s="672"/>
      <c r="L53" s="672"/>
      <c r="M53" s="672"/>
      <c r="N53" s="672"/>
      <c r="O53" s="672"/>
    </row>
    <row r="54" spans="1:16" x14ac:dyDescent="0.25">
      <c r="A54" s="671"/>
      <c r="B54" s="673" t="s">
        <v>347</v>
      </c>
      <c r="C54" s="673">
        <f>SUM(C55:C56)</f>
        <v>6608</v>
      </c>
      <c r="D54" s="673"/>
      <c r="E54" s="673"/>
      <c r="F54" s="673">
        <f>SUM(F55:F56)</f>
        <v>2256</v>
      </c>
      <c r="G54" s="673"/>
      <c r="H54" s="673"/>
      <c r="I54" s="673"/>
      <c r="J54" s="673">
        <f>SUM(C54+E54+F54+H54)</f>
        <v>8864</v>
      </c>
      <c r="K54" s="673">
        <f>SUM(D54+G54+I54)</f>
        <v>0</v>
      </c>
      <c r="L54" s="673">
        <f>SUM(J54:K54)</f>
        <v>8864</v>
      </c>
      <c r="M54" s="673">
        <f>SUM(M55:M56)</f>
        <v>103044</v>
      </c>
      <c r="N54" s="673">
        <f>SUM(N55:N56)</f>
        <v>239</v>
      </c>
      <c r="O54" s="673">
        <f>SUM(L54:N54)</f>
        <v>112147</v>
      </c>
    </row>
    <row r="55" spans="1:16" s="677" customFormat="1" x14ac:dyDescent="0.25">
      <c r="A55" s="674"/>
      <c r="B55" s="675" t="s">
        <v>381</v>
      </c>
      <c r="C55" s="675">
        <v>6608</v>
      </c>
      <c r="D55" s="675"/>
      <c r="E55" s="675"/>
      <c r="F55" s="675">
        <v>2256</v>
      </c>
      <c r="G55" s="675"/>
      <c r="H55" s="675"/>
      <c r="I55" s="675"/>
      <c r="J55" s="676">
        <f>SUM(C55+E55+F55+H55)</f>
        <v>8864</v>
      </c>
      <c r="K55" s="676">
        <f>SUM(D55+G55+I55)</f>
        <v>0</v>
      </c>
      <c r="L55" s="676">
        <f>SUM(J55:K55)</f>
        <v>8864</v>
      </c>
      <c r="M55" s="676">
        <v>100217</v>
      </c>
      <c r="N55" s="676">
        <v>239</v>
      </c>
      <c r="O55" s="676">
        <f>SUM(L55:N55)</f>
        <v>109320</v>
      </c>
    </row>
    <row r="56" spans="1:16" s="677" customFormat="1" x14ac:dyDescent="0.25">
      <c r="A56" s="674"/>
      <c r="B56" s="675" t="s">
        <v>380</v>
      </c>
      <c r="C56" s="675"/>
      <c r="D56" s="675"/>
      <c r="E56" s="675"/>
      <c r="F56" s="675"/>
      <c r="G56" s="675"/>
      <c r="H56" s="675"/>
      <c r="I56" s="675"/>
      <c r="J56" s="676">
        <f>SUM(C56+E56+F56+H56)</f>
        <v>0</v>
      </c>
      <c r="K56" s="676">
        <f>SUM(D56+G56+I56)</f>
        <v>0</v>
      </c>
      <c r="L56" s="676">
        <f>SUM(J56:K56)</f>
        <v>0</v>
      </c>
      <c r="M56" s="676">
        <v>2827</v>
      </c>
      <c r="N56" s="676"/>
      <c r="O56" s="676">
        <f>SUM(L56:N56)</f>
        <v>2827</v>
      </c>
    </row>
    <row r="57" spans="1:16" s="677" customFormat="1" x14ac:dyDescent="0.25">
      <c r="A57" s="674"/>
      <c r="B57" s="675" t="s">
        <v>131</v>
      </c>
      <c r="C57" s="678"/>
      <c r="D57" s="678"/>
      <c r="E57" s="678"/>
      <c r="F57" s="678"/>
      <c r="G57" s="678"/>
      <c r="H57" s="678"/>
      <c r="I57" s="678"/>
      <c r="J57" s="678"/>
      <c r="K57" s="678"/>
      <c r="L57" s="678"/>
      <c r="M57" s="678"/>
      <c r="N57" s="678"/>
      <c r="O57" s="678"/>
    </row>
    <row r="58" spans="1:16" s="677" customFormat="1" ht="31.5" x14ac:dyDescent="0.25">
      <c r="A58" s="687"/>
      <c r="B58" s="678" t="s">
        <v>1235</v>
      </c>
      <c r="C58" s="688"/>
      <c r="D58" s="688"/>
      <c r="E58" s="688"/>
      <c r="F58" s="688"/>
      <c r="G58" s="688"/>
      <c r="H58" s="688"/>
      <c r="I58" s="688"/>
      <c r="J58" s="688">
        <f t="shared" ref="J58:J60" si="30">SUM(C58+E58+F58+H58)</f>
        <v>0</v>
      </c>
      <c r="K58" s="688">
        <f t="shared" ref="K58:K60" si="31">SUM(D58+G58+I58)</f>
        <v>0</v>
      </c>
      <c r="L58" s="688">
        <f t="shared" ref="L58:L60" si="32">SUM(J58:K58)</f>
        <v>0</v>
      </c>
      <c r="M58" s="688">
        <v>-176</v>
      </c>
      <c r="N58" s="688">
        <v>176</v>
      </c>
      <c r="O58" s="688">
        <f t="shared" ref="O58:O60" si="33">SUM(L58:N58)</f>
        <v>0</v>
      </c>
    </row>
    <row r="59" spans="1:16" s="677" customFormat="1" x14ac:dyDescent="0.25">
      <c r="A59" s="674"/>
      <c r="B59" s="675" t="s">
        <v>132</v>
      </c>
      <c r="C59" s="678"/>
      <c r="D59" s="678"/>
      <c r="E59" s="678"/>
      <c r="F59" s="678"/>
      <c r="G59" s="678"/>
      <c r="H59" s="678"/>
      <c r="I59" s="678"/>
      <c r="J59" s="678"/>
      <c r="K59" s="678"/>
      <c r="L59" s="678"/>
      <c r="M59" s="678"/>
      <c r="N59" s="678"/>
      <c r="O59" s="678"/>
    </row>
    <row r="60" spans="1:16" s="677" customFormat="1" ht="96" customHeight="1" thickBot="1" x14ac:dyDescent="0.3">
      <c r="A60" s="674"/>
      <c r="B60" s="679" t="s">
        <v>1216</v>
      </c>
      <c r="C60" s="678"/>
      <c r="D60" s="678"/>
      <c r="E60" s="678"/>
      <c r="F60" s="678"/>
      <c r="G60" s="678"/>
      <c r="H60" s="678"/>
      <c r="I60" s="678"/>
      <c r="J60" s="678">
        <f t="shared" si="30"/>
        <v>0</v>
      </c>
      <c r="K60" s="678">
        <f t="shared" si="31"/>
        <v>0</v>
      </c>
      <c r="L60" s="678">
        <f t="shared" si="32"/>
        <v>0</v>
      </c>
      <c r="M60" s="678">
        <v>85</v>
      </c>
      <c r="N60" s="678"/>
      <c r="O60" s="678">
        <f t="shared" si="33"/>
        <v>85</v>
      </c>
    </row>
    <row r="61" spans="1:16" ht="17.25" thickTop="1" thickBot="1" x14ac:dyDescent="0.3">
      <c r="A61" s="667"/>
      <c r="B61" s="680" t="s">
        <v>379</v>
      </c>
      <c r="C61" s="680">
        <f>+C54+C58+C60</f>
        <v>6608</v>
      </c>
      <c r="D61" s="680">
        <f t="shared" ref="D61:O61" si="34">+D54+D58+D60</f>
        <v>0</v>
      </c>
      <c r="E61" s="680">
        <f t="shared" si="34"/>
        <v>0</v>
      </c>
      <c r="F61" s="680">
        <f t="shared" si="34"/>
        <v>2256</v>
      </c>
      <c r="G61" s="680">
        <f t="shared" si="34"/>
        <v>0</v>
      </c>
      <c r="H61" s="680">
        <f t="shared" si="34"/>
        <v>0</v>
      </c>
      <c r="I61" s="680">
        <f t="shared" si="34"/>
        <v>0</v>
      </c>
      <c r="J61" s="680">
        <f t="shared" si="34"/>
        <v>8864</v>
      </c>
      <c r="K61" s="680">
        <f t="shared" si="34"/>
        <v>0</v>
      </c>
      <c r="L61" s="680">
        <f t="shared" si="34"/>
        <v>8864</v>
      </c>
      <c r="M61" s="680">
        <f t="shared" si="34"/>
        <v>102953</v>
      </c>
      <c r="N61" s="680">
        <f t="shared" si="34"/>
        <v>415</v>
      </c>
      <c r="O61" s="680">
        <f t="shared" si="34"/>
        <v>112232</v>
      </c>
      <c r="P61" s="659">
        <f>O62+O63</f>
        <v>112232</v>
      </c>
    </row>
    <row r="62" spans="1:16" ht="17.25" thickTop="1" thickBot="1" x14ac:dyDescent="0.3">
      <c r="A62" s="667"/>
      <c r="B62" s="680" t="s">
        <v>378</v>
      </c>
      <c r="C62" s="680">
        <f>+C55+C58</f>
        <v>6608</v>
      </c>
      <c r="D62" s="680">
        <f t="shared" ref="D62:O62" si="35">+D55+D58</f>
        <v>0</v>
      </c>
      <c r="E62" s="680">
        <f t="shared" si="35"/>
        <v>0</v>
      </c>
      <c r="F62" s="680">
        <f t="shared" si="35"/>
        <v>2256</v>
      </c>
      <c r="G62" s="680">
        <f t="shared" si="35"/>
        <v>0</v>
      </c>
      <c r="H62" s="680">
        <f t="shared" si="35"/>
        <v>0</v>
      </c>
      <c r="I62" s="680">
        <f t="shared" si="35"/>
        <v>0</v>
      </c>
      <c r="J62" s="680">
        <f t="shared" si="35"/>
        <v>8864</v>
      </c>
      <c r="K62" s="680">
        <f t="shared" si="35"/>
        <v>0</v>
      </c>
      <c r="L62" s="680">
        <f t="shared" si="35"/>
        <v>8864</v>
      </c>
      <c r="M62" s="680">
        <f t="shared" si="35"/>
        <v>100041</v>
      </c>
      <c r="N62" s="680">
        <f t="shared" si="35"/>
        <v>415</v>
      </c>
      <c r="O62" s="680">
        <f t="shared" si="35"/>
        <v>109320</v>
      </c>
    </row>
    <row r="63" spans="1:16" ht="17.25" thickTop="1" thickBot="1" x14ac:dyDescent="0.3">
      <c r="A63" s="667"/>
      <c r="B63" s="680" t="s">
        <v>377</v>
      </c>
      <c r="C63" s="680">
        <f>+C56+C60</f>
        <v>0</v>
      </c>
      <c r="D63" s="680">
        <f t="shared" ref="D63:O63" si="36">+D56+D60</f>
        <v>0</v>
      </c>
      <c r="E63" s="680">
        <f t="shared" si="36"/>
        <v>0</v>
      </c>
      <c r="F63" s="680">
        <f t="shared" si="36"/>
        <v>0</v>
      </c>
      <c r="G63" s="680">
        <f t="shared" si="36"/>
        <v>0</v>
      </c>
      <c r="H63" s="680">
        <f t="shared" si="36"/>
        <v>0</v>
      </c>
      <c r="I63" s="680">
        <f t="shared" si="36"/>
        <v>0</v>
      </c>
      <c r="J63" s="680">
        <f t="shared" si="36"/>
        <v>0</v>
      </c>
      <c r="K63" s="680">
        <f t="shared" si="36"/>
        <v>0</v>
      </c>
      <c r="L63" s="680">
        <f t="shared" si="36"/>
        <v>0</v>
      </c>
      <c r="M63" s="680">
        <f t="shared" si="36"/>
        <v>2912</v>
      </c>
      <c r="N63" s="680">
        <f t="shared" si="36"/>
        <v>0</v>
      </c>
      <c r="O63" s="680">
        <f t="shared" si="36"/>
        <v>2912</v>
      </c>
    </row>
    <row r="64" spans="1:16" ht="16.5" thickTop="1" x14ac:dyDescent="0.25">
      <c r="A64" s="671" t="s">
        <v>149</v>
      </c>
      <c r="B64" s="672" t="s">
        <v>405</v>
      </c>
      <c r="C64" s="672"/>
      <c r="D64" s="672"/>
      <c r="E64" s="672"/>
      <c r="F64" s="672"/>
      <c r="G64" s="672"/>
      <c r="H64" s="672"/>
      <c r="I64" s="672"/>
      <c r="J64" s="672"/>
      <c r="K64" s="672"/>
      <c r="L64" s="672"/>
      <c r="M64" s="672"/>
      <c r="N64" s="672"/>
      <c r="O64" s="672"/>
    </row>
    <row r="65" spans="1:16" x14ac:dyDescent="0.25">
      <c r="A65" s="671"/>
      <c r="B65" s="673" t="s">
        <v>347</v>
      </c>
      <c r="C65" s="673">
        <f>SUM(C66:C67)</f>
        <v>3719</v>
      </c>
      <c r="D65" s="673"/>
      <c r="E65" s="673"/>
      <c r="F65" s="673">
        <f>SUM(F66:F67)</f>
        <v>470</v>
      </c>
      <c r="G65" s="673"/>
      <c r="H65" s="673"/>
      <c r="I65" s="673"/>
      <c r="J65" s="673">
        <f>SUM(C65+E65+F65+H65)</f>
        <v>4189</v>
      </c>
      <c r="K65" s="673">
        <f>SUM(D65+G65+I65)</f>
        <v>0</v>
      </c>
      <c r="L65" s="673">
        <f>SUM(J65:K65)</f>
        <v>4189</v>
      </c>
      <c r="M65" s="673">
        <f>SUM(M66:M67)</f>
        <v>60852</v>
      </c>
      <c r="N65" s="673">
        <f>SUM(N66:N67)</f>
        <v>327</v>
      </c>
      <c r="O65" s="673">
        <f>SUM(L65:N65)</f>
        <v>65368</v>
      </c>
    </row>
    <row r="66" spans="1:16" s="677" customFormat="1" x14ac:dyDescent="0.25">
      <c r="A66" s="674"/>
      <c r="B66" s="675" t="s">
        <v>381</v>
      </c>
      <c r="C66" s="675">
        <v>3719</v>
      </c>
      <c r="D66" s="675"/>
      <c r="E66" s="675"/>
      <c r="F66" s="675">
        <v>470</v>
      </c>
      <c r="G66" s="675"/>
      <c r="H66" s="675"/>
      <c r="I66" s="675"/>
      <c r="J66" s="676">
        <f>SUM(C66+E66+F66+H66)</f>
        <v>4189</v>
      </c>
      <c r="K66" s="676">
        <f>SUM(D66+G66+I66)</f>
        <v>0</v>
      </c>
      <c r="L66" s="676">
        <f>SUM(J66:K66)</f>
        <v>4189</v>
      </c>
      <c r="M66" s="676">
        <v>59228</v>
      </c>
      <c r="N66" s="676">
        <v>327</v>
      </c>
      <c r="O66" s="676">
        <f>SUM(L66:N66)</f>
        <v>63744</v>
      </c>
    </row>
    <row r="67" spans="1:16" s="677" customFormat="1" x14ac:dyDescent="0.25">
      <c r="A67" s="674"/>
      <c r="B67" s="675" t="s">
        <v>380</v>
      </c>
      <c r="C67" s="675"/>
      <c r="D67" s="675"/>
      <c r="E67" s="675"/>
      <c r="F67" s="675"/>
      <c r="G67" s="675"/>
      <c r="H67" s="675"/>
      <c r="I67" s="675"/>
      <c r="J67" s="676">
        <f>SUM(C67+E67+F67+H67)</f>
        <v>0</v>
      </c>
      <c r="K67" s="676">
        <f>SUM(D67+G67+I67)</f>
        <v>0</v>
      </c>
      <c r="L67" s="676">
        <f>SUM(J67:K67)</f>
        <v>0</v>
      </c>
      <c r="M67" s="676">
        <v>1624</v>
      </c>
      <c r="N67" s="676"/>
      <c r="O67" s="676">
        <f>SUM(L67:N67)</f>
        <v>1624</v>
      </c>
    </row>
    <row r="68" spans="1:16" s="677" customFormat="1" x14ac:dyDescent="0.25">
      <c r="A68" s="674"/>
      <c r="B68" s="675" t="s">
        <v>131</v>
      </c>
      <c r="C68" s="678"/>
      <c r="D68" s="678"/>
      <c r="E68" s="678"/>
      <c r="F68" s="678"/>
      <c r="G68" s="678"/>
      <c r="H68" s="678"/>
      <c r="I68" s="678"/>
      <c r="J68" s="678"/>
      <c r="K68" s="678"/>
      <c r="L68" s="678"/>
      <c r="M68" s="678"/>
      <c r="N68" s="678"/>
      <c r="O68" s="678"/>
    </row>
    <row r="69" spans="1:16" s="677" customFormat="1" ht="31.5" x14ac:dyDescent="0.25">
      <c r="A69" s="674"/>
      <c r="B69" s="678" t="s">
        <v>1235</v>
      </c>
      <c r="C69" s="678"/>
      <c r="D69" s="678"/>
      <c r="E69" s="678"/>
      <c r="F69" s="678"/>
      <c r="G69" s="678"/>
      <c r="H69" s="678"/>
      <c r="I69" s="678"/>
      <c r="J69" s="678">
        <f t="shared" ref="J69:J74" si="37">SUM(C69+E69+F69+H69)</f>
        <v>0</v>
      </c>
      <c r="K69" s="678">
        <f t="shared" ref="K69:K74" si="38">SUM(D69+G69+I69)</f>
        <v>0</v>
      </c>
      <c r="L69" s="678">
        <f t="shared" ref="L69:L74" si="39">SUM(J69:K69)</f>
        <v>0</v>
      </c>
      <c r="M69" s="678">
        <v>88</v>
      </c>
      <c r="N69" s="678">
        <v>-88</v>
      </c>
      <c r="O69" s="678">
        <f t="shared" ref="O69:O74" si="40">SUM(L69:N69)</f>
        <v>0</v>
      </c>
    </row>
    <row r="70" spans="1:16" s="677" customFormat="1" ht="31.5" x14ac:dyDescent="0.25">
      <c r="A70" s="674"/>
      <c r="B70" s="678" t="s">
        <v>1236</v>
      </c>
      <c r="C70" s="678"/>
      <c r="D70" s="678"/>
      <c r="E70" s="678"/>
      <c r="F70" s="678"/>
      <c r="G70" s="678"/>
      <c r="H70" s="678"/>
      <c r="I70" s="678"/>
      <c r="J70" s="678">
        <f t="shared" si="37"/>
        <v>0</v>
      </c>
      <c r="K70" s="678">
        <f t="shared" si="38"/>
        <v>0</v>
      </c>
      <c r="L70" s="678">
        <f t="shared" si="39"/>
        <v>0</v>
      </c>
      <c r="M70" s="678">
        <v>-14</v>
      </c>
      <c r="N70" s="678"/>
      <c r="O70" s="678">
        <f t="shared" si="40"/>
        <v>-14</v>
      </c>
    </row>
    <row r="71" spans="1:16" s="677" customFormat="1" x14ac:dyDescent="0.25">
      <c r="A71" s="674"/>
      <c r="B71" s="678" t="s">
        <v>1217</v>
      </c>
      <c r="C71" s="678"/>
      <c r="D71" s="678"/>
      <c r="E71" s="678"/>
      <c r="F71" s="678"/>
      <c r="G71" s="678"/>
      <c r="H71" s="678"/>
      <c r="I71" s="678"/>
      <c r="J71" s="678">
        <f t="shared" si="37"/>
        <v>0</v>
      </c>
      <c r="K71" s="678">
        <f t="shared" si="38"/>
        <v>0</v>
      </c>
      <c r="L71" s="678">
        <f t="shared" si="39"/>
        <v>0</v>
      </c>
      <c r="M71" s="678">
        <v>122</v>
      </c>
      <c r="N71" s="678"/>
      <c r="O71" s="678">
        <f t="shared" si="40"/>
        <v>122</v>
      </c>
    </row>
    <row r="72" spans="1:16" s="677" customFormat="1" ht="31.5" x14ac:dyDescent="0.25">
      <c r="A72" s="674"/>
      <c r="B72" s="679" t="s">
        <v>915</v>
      </c>
      <c r="C72" s="678"/>
      <c r="D72" s="678"/>
      <c r="E72" s="678"/>
      <c r="F72" s="678">
        <v>407</v>
      </c>
      <c r="G72" s="678"/>
      <c r="H72" s="678"/>
      <c r="I72" s="678"/>
      <c r="J72" s="678">
        <f t="shared" si="37"/>
        <v>407</v>
      </c>
      <c r="K72" s="678">
        <f t="shared" si="38"/>
        <v>0</v>
      </c>
      <c r="L72" s="678">
        <f t="shared" si="39"/>
        <v>407</v>
      </c>
      <c r="M72" s="678">
        <v>28</v>
      </c>
      <c r="N72" s="678"/>
      <c r="O72" s="678">
        <f t="shared" si="40"/>
        <v>435</v>
      </c>
    </row>
    <row r="73" spans="1:16" s="677" customFormat="1" x14ac:dyDescent="0.25">
      <c r="A73" s="674"/>
      <c r="B73" s="675" t="s">
        <v>491</v>
      </c>
      <c r="C73" s="678"/>
      <c r="D73" s="678"/>
      <c r="E73" s="678"/>
      <c r="F73" s="678"/>
      <c r="G73" s="678"/>
      <c r="H73" s="678"/>
      <c r="I73" s="678"/>
      <c r="J73" s="678"/>
      <c r="K73" s="678"/>
      <c r="L73" s="678"/>
      <c r="M73" s="678"/>
      <c r="N73" s="678"/>
      <c r="O73" s="678"/>
    </row>
    <row r="74" spans="1:16" s="677" customFormat="1" ht="96" customHeight="1" thickBot="1" x14ac:dyDescent="0.3">
      <c r="A74" s="674"/>
      <c r="B74" s="679" t="s">
        <v>1216</v>
      </c>
      <c r="C74" s="678"/>
      <c r="D74" s="678"/>
      <c r="E74" s="678"/>
      <c r="F74" s="678"/>
      <c r="G74" s="678"/>
      <c r="H74" s="678"/>
      <c r="I74" s="678"/>
      <c r="J74" s="678">
        <f t="shared" si="37"/>
        <v>0</v>
      </c>
      <c r="K74" s="678">
        <f t="shared" si="38"/>
        <v>0</v>
      </c>
      <c r="L74" s="678">
        <f t="shared" si="39"/>
        <v>0</v>
      </c>
      <c r="M74" s="678">
        <v>-85</v>
      </c>
      <c r="N74" s="678"/>
      <c r="O74" s="678">
        <f t="shared" si="40"/>
        <v>-85</v>
      </c>
    </row>
    <row r="75" spans="1:16" ht="17.25" thickTop="1" thickBot="1" x14ac:dyDescent="0.3">
      <c r="A75" s="667"/>
      <c r="B75" s="680" t="s">
        <v>379</v>
      </c>
      <c r="C75" s="680">
        <f>+C65+C69+C74+C70+C71+C72</f>
        <v>3719</v>
      </c>
      <c r="D75" s="680">
        <f t="shared" ref="D75:O75" si="41">+D65+D69+D74+D70+D71+D72</f>
        <v>0</v>
      </c>
      <c r="E75" s="680">
        <f t="shared" si="41"/>
        <v>0</v>
      </c>
      <c r="F75" s="680">
        <f t="shared" si="41"/>
        <v>877</v>
      </c>
      <c r="G75" s="680">
        <f t="shared" si="41"/>
        <v>0</v>
      </c>
      <c r="H75" s="680">
        <f t="shared" si="41"/>
        <v>0</v>
      </c>
      <c r="I75" s="680">
        <f t="shared" si="41"/>
        <v>0</v>
      </c>
      <c r="J75" s="680">
        <f t="shared" si="41"/>
        <v>4596</v>
      </c>
      <c r="K75" s="680">
        <f t="shared" si="41"/>
        <v>0</v>
      </c>
      <c r="L75" s="680">
        <f t="shared" si="41"/>
        <v>4596</v>
      </c>
      <c r="M75" s="680">
        <f t="shared" si="41"/>
        <v>60991</v>
      </c>
      <c r="N75" s="680">
        <f t="shared" si="41"/>
        <v>239</v>
      </c>
      <c r="O75" s="680">
        <f t="shared" si="41"/>
        <v>65826</v>
      </c>
      <c r="P75" s="659">
        <f>O76+O77</f>
        <v>65826</v>
      </c>
    </row>
    <row r="76" spans="1:16" ht="17.25" thickTop="1" thickBot="1" x14ac:dyDescent="0.3">
      <c r="A76" s="667"/>
      <c r="B76" s="680" t="s">
        <v>378</v>
      </c>
      <c r="C76" s="680">
        <f t="shared" ref="C76:O76" si="42">+C66+C69+C70+C71+C72</f>
        <v>3719</v>
      </c>
      <c r="D76" s="680">
        <f t="shared" si="42"/>
        <v>0</v>
      </c>
      <c r="E76" s="680">
        <f t="shared" si="42"/>
        <v>0</v>
      </c>
      <c r="F76" s="680">
        <f t="shared" si="42"/>
        <v>877</v>
      </c>
      <c r="G76" s="680">
        <f t="shared" si="42"/>
        <v>0</v>
      </c>
      <c r="H76" s="680">
        <f t="shared" si="42"/>
        <v>0</v>
      </c>
      <c r="I76" s="680">
        <f t="shared" si="42"/>
        <v>0</v>
      </c>
      <c r="J76" s="680">
        <f t="shared" si="42"/>
        <v>4596</v>
      </c>
      <c r="K76" s="680">
        <f t="shared" si="42"/>
        <v>0</v>
      </c>
      <c r="L76" s="680">
        <f t="shared" si="42"/>
        <v>4596</v>
      </c>
      <c r="M76" s="680">
        <f t="shared" si="42"/>
        <v>59452</v>
      </c>
      <c r="N76" s="680">
        <f t="shared" si="42"/>
        <v>239</v>
      </c>
      <c r="O76" s="680">
        <f t="shared" si="42"/>
        <v>64287</v>
      </c>
    </row>
    <row r="77" spans="1:16" ht="17.25" thickTop="1" thickBot="1" x14ac:dyDescent="0.3">
      <c r="A77" s="667"/>
      <c r="B77" s="680" t="s">
        <v>377</v>
      </c>
      <c r="C77" s="680">
        <f>+C67+C74</f>
        <v>0</v>
      </c>
      <c r="D77" s="680">
        <f t="shared" ref="D77:O77" si="43">+D67+D74</f>
        <v>0</v>
      </c>
      <c r="E77" s="680">
        <f t="shared" si="43"/>
        <v>0</v>
      </c>
      <c r="F77" s="680">
        <f t="shared" si="43"/>
        <v>0</v>
      </c>
      <c r="G77" s="680">
        <f t="shared" si="43"/>
        <v>0</v>
      </c>
      <c r="H77" s="680">
        <f t="shared" si="43"/>
        <v>0</v>
      </c>
      <c r="I77" s="680">
        <f t="shared" si="43"/>
        <v>0</v>
      </c>
      <c r="J77" s="680">
        <f t="shared" si="43"/>
        <v>0</v>
      </c>
      <c r="K77" s="680">
        <f t="shared" si="43"/>
        <v>0</v>
      </c>
      <c r="L77" s="680">
        <f t="shared" si="43"/>
        <v>0</v>
      </c>
      <c r="M77" s="680">
        <f t="shared" si="43"/>
        <v>1539</v>
      </c>
      <c r="N77" s="680">
        <f t="shared" si="43"/>
        <v>0</v>
      </c>
      <c r="O77" s="680">
        <f t="shared" si="43"/>
        <v>1539</v>
      </c>
    </row>
    <row r="78" spans="1:16" ht="16.5" thickTop="1" x14ac:dyDescent="0.25">
      <c r="A78" s="671" t="s">
        <v>150</v>
      </c>
      <c r="B78" s="672" t="s">
        <v>783</v>
      </c>
      <c r="C78" s="672"/>
      <c r="D78" s="672"/>
      <c r="E78" s="672"/>
      <c r="F78" s="672"/>
      <c r="G78" s="672"/>
      <c r="H78" s="672"/>
      <c r="I78" s="672"/>
      <c r="J78" s="672"/>
      <c r="K78" s="672"/>
      <c r="L78" s="672"/>
      <c r="M78" s="672"/>
      <c r="N78" s="672"/>
      <c r="O78" s="672"/>
    </row>
    <row r="79" spans="1:16" x14ac:dyDescent="0.25">
      <c r="A79" s="671"/>
      <c r="B79" s="673" t="s">
        <v>347</v>
      </c>
      <c r="C79" s="673">
        <f>SUM(C80:C81)</f>
        <v>7680</v>
      </c>
      <c r="D79" s="673"/>
      <c r="E79" s="673"/>
      <c r="F79" s="673">
        <f>SUM(F80:F81)</f>
        <v>1361</v>
      </c>
      <c r="G79" s="673"/>
      <c r="H79" s="673"/>
      <c r="I79" s="673"/>
      <c r="J79" s="673">
        <f>SUM(C79+E79+F79+H79)</f>
        <v>9041</v>
      </c>
      <c r="K79" s="673">
        <f>SUM(D79+G79+I79)</f>
        <v>0</v>
      </c>
      <c r="L79" s="673">
        <f>SUM(J79:K79)</f>
        <v>9041</v>
      </c>
      <c r="M79" s="673">
        <f>SUM(M80:M81)</f>
        <v>140927</v>
      </c>
      <c r="N79" s="673">
        <f>SUM(N80:N81)</f>
        <v>590</v>
      </c>
      <c r="O79" s="673">
        <f>SUM(L79:N79)</f>
        <v>150558</v>
      </c>
    </row>
    <row r="80" spans="1:16" s="677" customFormat="1" x14ac:dyDescent="0.25">
      <c r="A80" s="674"/>
      <c r="B80" s="675" t="s">
        <v>381</v>
      </c>
      <c r="C80" s="675">
        <v>7680</v>
      </c>
      <c r="D80" s="675"/>
      <c r="E80" s="675"/>
      <c r="F80" s="675">
        <v>1361</v>
      </c>
      <c r="G80" s="675"/>
      <c r="H80" s="675"/>
      <c r="I80" s="675"/>
      <c r="J80" s="676">
        <f>SUM(C80+E80+F80+H80)</f>
        <v>9041</v>
      </c>
      <c r="K80" s="676">
        <f>SUM(D80+G80+I80)</f>
        <v>0</v>
      </c>
      <c r="L80" s="676">
        <f>SUM(J80:K80)</f>
        <v>9041</v>
      </c>
      <c r="M80" s="676">
        <v>137468</v>
      </c>
      <c r="N80" s="676">
        <v>590</v>
      </c>
      <c r="O80" s="676">
        <f>SUM(L80:N80)</f>
        <v>147099</v>
      </c>
    </row>
    <row r="81" spans="1:16" s="677" customFormat="1" x14ac:dyDescent="0.25">
      <c r="A81" s="674"/>
      <c r="B81" s="675" t="s">
        <v>380</v>
      </c>
      <c r="C81" s="675"/>
      <c r="D81" s="675"/>
      <c r="E81" s="675"/>
      <c r="F81" s="675"/>
      <c r="G81" s="675"/>
      <c r="H81" s="675"/>
      <c r="I81" s="675"/>
      <c r="J81" s="676">
        <f>SUM(C81+E81+F81+H81)</f>
        <v>0</v>
      </c>
      <c r="K81" s="676">
        <f>SUM(D81+G81+I81)</f>
        <v>0</v>
      </c>
      <c r="L81" s="676">
        <f>SUM(J81:K81)</f>
        <v>0</v>
      </c>
      <c r="M81" s="676">
        <v>3459</v>
      </c>
      <c r="N81" s="676"/>
      <c r="O81" s="676">
        <f>SUM(L81:N81)</f>
        <v>3459</v>
      </c>
    </row>
    <row r="82" spans="1:16" s="677" customFormat="1" x14ac:dyDescent="0.25">
      <c r="A82" s="683"/>
      <c r="B82" s="684" t="s">
        <v>131</v>
      </c>
      <c r="C82" s="686"/>
      <c r="D82" s="686"/>
      <c r="E82" s="686"/>
      <c r="F82" s="686"/>
      <c r="G82" s="686"/>
      <c r="H82" s="686"/>
      <c r="I82" s="686"/>
      <c r="J82" s="686"/>
      <c r="K82" s="686"/>
      <c r="L82" s="686"/>
      <c r="M82" s="686"/>
      <c r="N82" s="686"/>
      <c r="O82" s="686"/>
    </row>
    <row r="83" spans="1:16" s="677" customFormat="1" ht="31.5" x14ac:dyDescent="0.25">
      <c r="A83" s="683"/>
      <c r="B83" s="686" t="s">
        <v>1235</v>
      </c>
      <c r="C83" s="686"/>
      <c r="D83" s="686"/>
      <c r="E83" s="686"/>
      <c r="F83" s="686"/>
      <c r="G83" s="686"/>
      <c r="H83" s="686"/>
      <c r="I83" s="686"/>
      <c r="J83" s="686">
        <f t="shared" ref="J83:J84" si="44">SUM(C83+E83+F83+H83)</f>
        <v>0</v>
      </c>
      <c r="K83" s="686">
        <f t="shared" ref="K83:K84" si="45">SUM(D83+G83+I83)</f>
        <v>0</v>
      </c>
      <c r="L83" s="686">
        <f t="shared" ref="L83:L84" si="46">SUM(J83:K83)</f>
        <v>0</v>
      </c>
      <c r="M83" s="686">
        <v>-66</v>
      </c>
      <c r="N83" s="686">
        <v>66</v>
      </c>
      <c r="O83" s="686">
        <f t="shared" ref="O83:O84" si="47">SUM(L83:N83)</f>
        <v>0</v>
      </c>
    </row>
    <row r="84" spans="1:16" s="677" customFormat="1" ht="31.5" x14ac:dyDescent="0.25">
      <c r="A84" s="674"/>
      <c r="B84" s="679" t="s">
        <v>915</v>
      </c>
      <c r="C84" s="678"/>
      <c r="D84" s="678"/>
      <c r="E84" s="678"/>
      <c r="F84" s="678">
        <v>774</v>
      </c>
      <c r="G84" s="678"/>
      <c r="H84" s="678"/>
      <c r="I84" s="678"/>
      <c r="J84" s="678">
        <f t="shared" si="44"/>
        <v>774</v>
      </c>
      <c r="K84" s="678">
        <f t="shared" si="45"/>
        <v>0</v>
      </c>
      <c r="L84" s="678">
        <f t="shared" si="46"/>
        <v>774</v>
      </c>
      <c r="M84" s="678"/>
      <c r="N84" s="678"/>
      <c r="O84" s="678">
        <f t="shared" si="47"/>
        <v>774</v>
      </c>
    </row>
    <row r="85" spans="1:16" s="677" customFormat="1" ht="16.5" thickBot="1" x14ac:dyDescent="0.3">
      <c r="A85" s="674"/>
      <c r="B85" s="675" t="s">
        <v>132</v>
      </c>
      <c r="C85" s="678"/>
      <c r="D85" s="678"/>
      <c r="E85" s="678"/>
      <c r="F85" s="678"/>
      <c r="G85" s="678"/>
      <c r="H85" s="678"/>
      <c r="I85" s="678"/>
      <c r="J85" s="678"/>
      <c r="K85" s="678"/>
      <c r="L85" s="678"/>
      <c r="M85" s="678"/>
      <c r="N85" s="678"/>
      <c r="O85" s="678"/>
    </row>
    <row r="86" spans="1:16" ht="17.25" thickTop="1" thickBot="1" x14ac:dyDescent="0.3">
      <c r="A86" s="667"/>
      <c r="B86" s="680" t="s">
        <v>379</v>
      </c>
      <c r="C86" s="680">
        <f>+C79+C83+C84</f>
        <v>7680</v>
      </c>
      <c r="D86" s="680">
        <f t="shared" ref="D86:O86" si="48">+D79+D83+D84</f>
        <v>0</v>
      </c>
      <c r="E86" s="680">
        <f t="shared" si="48"/>
        <v>0</v>
      </c>
      <c r="F86" s="680">
        <f t="shared" si="48"/>
        <v>2135</v>
      </c>
      <c r="G86" s="680">
        <f t="shared" si="48"/>
        <v>0</v>
      </c>
      <c r="H86" s="680">
        <f t="shared" si="48"/>
        <v>0</v>
      </c>
      <c r="I86" s="680">
        <f t="shared" si="48"/>
        <v>0</v>
      </c>
      <c r="J86" s="680">
        <f t="shared" si="48"/>
        <v>9815</v>
      </c>
      <c r="K86" s="680">
        <f t="shared" si="48"/>
        <v>0</v>
      </c>
      <c r="L86" s="680">
        <f t="shared" si="48"/>
        <v>9815</v>
      </c>
      <c r="M86" s="680">
        <f t="shared" si="48"/>
        <v>140861</v>
      </c>
      <c r="N86" s="680">
        <f t="shared" si="48"/>
        <v>656</v>
      </c>
      <c r="O86" s="680">
        <f t="shared" si="48"/>
        <v>151332</v>
      </c>
      <c r="P86" s="659">
        <f>O87+O88</f>
        <v>151332</v>
      </c>
    </row>
    <row r="87" spans="1:16" ht="17.25" thickTop="1" thickBot="1" x14ac:dyDescent="0.3">
      <c r="A87" s="667"/>
      <c r="B87" s="680" t="s">
        <v>378</v>
      </c>
      <c r="C87" s="680">
        <f>+C80+C83+C84</f>
        <v>7680</v>
      </c>
      <c r="D87" s="680">
        <f t="shared" ref="D87:O87" si="49">+D80+D83+D84</f>
        <v>0</v>
      </c>
      <c r="E87" s="680">
        <f t="shared" si="49"/>
        <v>0</v>
      </c>
      <c r="F87" s="680">
        <f t="shared" si="49"/>
        <v>2135</v>
      </c>
      <c r="G87" s="680">
        <f t="shared" si="49"/>
        <v>0</v>
      </c>
      <c r="H87" s="680">
        <f t="shared" si="49"/>
        <v>0</v>
      </c>
      <c r="I87" s="680">
        <f t="shared" si="49"/>
        <v>0</v>
      </c>
      <c r="J87" s="680">
        <f t="shared" si="49"/>
        <v>9815</v>
      </c>
      <c r="K87" s="680">
        <f t="shared" si="49"/>
        <v>0</v>
      </c>
      <c r="L87" s="680">
        <f t="shared" si="49"/>
        <v>9815</v>
      </c>
      <c r="M87" s="680">
        <f t="shared" si="49"/>
        <v>137402</v>
      </c>
      <c r="N87" s="680">
        <f t="shared" si="49"/>
        <v>656</v>
      </c>
      <c r="O87" s="680">
        <f t="shared" si="49"/>
        <v>147873</v>
      </c>
    </row>
    <row r="88" spans="1:16" ht="17.25" thickTop="1" thickBot="1" x14ac:dyDescent="0.3">
      <c r="A88" s="667"/>
      <c r="B88" s="680" t="s">
        <v>377</v>
      </c>
      <c r="C88" s="680">
        <f>+C81</f>
        <v>0</v>
      </c>
      <c r="D88" s="680">
        <f t="shared" ref="D88:O88" si="50">+D81</f>
        <v>0</v>
      </c>
      <c r="E88" s="680">
        <f t="shared" si="50"/>
        <v>0</v>
      </c>
      <c r="F88" s="680">
        <f t="shared" si="50"/>
        <v>0</v>
      </c>
      <c r="G88" s="680">
        <f t="shared" si="50"/>
        <v>0</v>
      </c>
      <c r="H88" s="680">
        <f t="shared" si="50"/>
        <v>0</v>
      </c>
      <c r="I88" s="680">
        <f t="shared" si="50"/>
        <v>0</v>
      </c>
      <c r="J88" s="680">
        <f t="shared" si="50"/>
        <v>0</v>
      </c>
      <c r="K88" s="680">
        <f t="shared" si="50"/>
        <v>0</v>
      </c>
      <c r="L88" s="680">
        <f t="shared" si="50"/>
        <v>0</v>
      </c>
      <c r="M88" s="680">
        <f t="shared" si="50"/>
        <v>3459</v>
      </c>
      <c r="N88" s="680">
        <f t="shared" si="50"/>
        <v>0</v>
      </c>
      <c r="O88" s="680">
        <f t="shared" si="50"/>
        <v>3459</v>
      </c>
    </row>
    <row r="89" spans="1:16" ht="16.5" thickTop="1" x14ac:dyDescent="0.25">
      <c r="A89" s="671" t="s">
        <v>151</v>
      </c>
      <c r="B89" s="672" t="s">
        <v>784</v>
      </c>
      <c r="C89" s="672"/>
      <c r="D89" s="672"/>
      <c r="E89" s="672"/>
      <c r="F89" s="672"/>
      <c r="G89" s="672"/>
      <c r="H89" s="672"/>
      <c r="I89" s="672"/>
      <c r="J89" s="672"/>
      <c r="K89" s="672"/>
      <c r="L89" s="672"/>
      <c r="M89" s="672"/>
      <c r="N89" s="672"/>
      <c r="O89" s="672"/>
    </row>
    <row r="90" spans="1:16" x14ac:dyDescent="0.25">
      <c r="A90" s="671"/>
      <c r="B90" s="673" t="s">
        <v>347</v>
      </c>
      <c r="C90" s="673">
        <f>SUM(C91:C92)</f>
        <v>6905</v>
      </c>
      <c r="D90" s="673"/>
      <c r="E90" s="673"/>
      <c r="F90" s="673">
        <f>SUM(F91:F92)</f>
        <v>1844</v>
      </c>
      <c r="G90" s="673"/>
      <c r="H90" s="673"/>
      <c r="I90" s="673"/>
      <c r="J90" s="673">
        <f>SUM(C90+E90+F90+H90)</f>
        <v>8749</v>
      </c>
      <c r="K90" s="673">
        <f>SUM(D90+G90+I90)</f>
        <v>0</v>
      </c>
      <c r="L90" s="673">
        <f>SUM(J90:K90)</f>
        <v>8749</v>
      </c>
      <c r="M90" s="673">
        <f>SUM(M91:M92)</f>
        <v>105133</v>
      </c>
      <c r="N90" s="673">
        <f>SUM(N91:N92)</f>
        <v>645</v>
      </c>
      <c r="O90" s="673">
        <f>SUM(L90:N90)</f>
        <v>114527</v>
      </c>
    </row>
    <row r="91" spans="1:16" s="677" customFormat="1" x14ac:dyDescent="0.25">
      <c r="A91" s="683"/>
      <c r="B91" s="684" t="s">
        <v>381</v>
      </c>
      <c r="C91" s="684">
        <v>6905</v>
      </c>
      <c r="D91" s="684"/>
      <c r="E91" s="684"/>
      <c r="F91" s="684">
        <v>1844</v>
      </c>
      <c r="G91" s="684"/>
      <c r="H91" s="684"/>
      <c r="I91" s="684"/>
      <c r="J91" s="685">
        <f>SUM(C91+E91+F91+H91)</f>
        <v>8749</v>
      </c>
      <c r="K91" s="685">
        <f>SUM(D91+G91+I91)</f>
        <v>0</v>
      </c>
      <c r="L91" s="685">
        <f>SUM(J91:K91)</f>
        <v>8749</v>
      </c>
      <c r="M91" s="685">
        <v>102330</v>
      </c>
      <c r="N91" s="685">
        <v>645</v>
      </c>
      <c r="O91" s="685">
        <f>SUM(L91:N91)</f>
        <v>111724</v>
      </c>
    </row>
    <row r="92" spans="1:16" s="677" customFormat="1" x14ac:dyDescent="0.25">
      <c r="A92" s="683"/>
      <c r="B92" s="684" t="s">
        <v>380</v>
      </c>
      <c r="C92" s="684"/>
      <c r="D92" s="684"/>
      <c r="E92" s="684"/>
      <c r="F92" s="684"/>
      <c r="G92" s="684"/>
      <c r="H92" s="684"/>
      <c r="I92" s="684"/>
      <c r="J92" s="685">
        <f>SUM(C92+E92+F92+H92)</f>
        <v>0</v>
      </c>
      <c r="K92" s="685">
        <f>SUM(D92+G92+I92)</f>
        <v>0</v>
      </c>
      <c r="L92" s="685">
        <f>SUM(J92:K92)</f>
        <v>0</v>
      </c>
      <c r="M92" s="685">
        <v>2803</v>
      </c>
      <c r="N92" s="685"/>
      <c r="O92" s="685">
        <f>SUM(L92:N92)</f>
        <v>2803</v>
      </c>
    </row>
    <row r="93" spans="1:16" s="677" customFormat="1" x14ac:dyDescent="0.25">
      <c r="A93" s="683"/>
      <c r="B93" s="684" t="s">
        <v>131</v>
      </c>
      <c r="C93" s="686"/>
      <c r="D93" s="686"/>
      <c r="E93" s="686"/>
      <c r="F93" s="686"/>
      <c r="G93" s="686"/>
      <c r="H93" s="686"/>
      <c r="I93" s="686"/>
      <c r="J93" s="686"/>
      <c r="K93" s="686"/>
      <c r="L93" s="686"/>
      <c r="M93" s="686"/>
      <c r="N93" s="686"/>
      <c r="O93" s="686"/>
    </row>
    <row r="94" spans="1:16" s="677" customFormat="1" ht="31.5" x14ac:dyDescent="0.25">
      <c r="A94" s="683"/>
      <c r="B94" s="678" t="s">
        <v>1235</v>
      </c>
      <c r="C94" s="686"/>
      <c r="D94" s="686"/>
      <c r="E94" s="686"/>
      <c r="F94" s="686"/>
      <c r="G94" s="686"/>
      <c r="H94" s="686"/>
      <c r="I94" s="686"/>
      <c r="J94" s="686">
        <f t="shared" ref="J94:J97" si="51">SUM(C94+E94+F94+H94)</f>
        <v>0</v>
      </c>
      <c r="K94" s="686">
        <f t="shared" ref="K94:K97" si="52">SUM(D94+G94+I94)</f>
        <v>0</v>
      </c>
      <c r="L94" s="686">
        <f t="shared" ref="L94:L97" si="53">SUM(J94:K94)</f>
        <v>0</v>
      </c>
      <c r="M94" s="686">
        <v>-46</v>
      </c>
      <c r="N94" s="686">
        <v>46</v>
      </c>
      <c r="O94" s="686">
        <f t="shared" ref="O94:O97" si="54">SUM(L94:N94)</f>
        <v>0</v>
      </c>
    </row>
    <row r="95" spans="1:16" s="677" customFormat="1" ht="47.25" x14ac:dyDescent="0.25">
      <c r="A95" s="683"/>
      <c r="B95" s="679" t="s">
        <v>1215</v>
      </c>
      <c r="C95" s="686"/>
      <c r="D95" s="686"/>
      <c r="E95" s="686"/>
      <c r="F95" s="686"/>
      <c r="G95" s="686"/>
      <c r="H95" s="686"/>
      <c r="I95" s="686"/>
      <c r="J95" s="686">
        <f t="shared" si="51"/>
        <v>0</v>
      </c>
      <c r="K95" s="686">
        <f t="shared" si="52"/>
        <v>0</v>
      </c>
      <c r="L95" s="686">
        <f t="shared" si="53"/>
        <v>0</v>
      </c>
      <c r="M95" s="686">
        <v>285</v>
      </c>
      <c r="N95" s="686"/>
      <c r="O95" s="686">
        <f t="shared" si="54"/>
        <v>285</v>
      </c>
    </row>
    <row r="96" spans="1:16" s="677" customFormat="1" ht="31.5" x14ac:dyDescent="0.25">
      <c r="A96" s="683"/>
      <c r="B96" s="679" t="s">
        <v>915</v>
      </c>
      <c r="C96" s="686"/>
      <c r="D96" s="686"/>
      <c r="E96" s="686"/>
      <c r="F96" s="686">
        <v>277</v>
      </c>
      <c r="G96" s="686"/>
      <c r="H96" s="686"/>
      <c r="I96" s="686"/>
      <c r="J96" s="686">
        <f t="shared" si="51"/>
        <v>277</v>
      </c>
      <c r="K96" s="686">
        <f t="shared" si="52"/>
        <v>0</v>
      </c>
      <c r="L96" s="686">
        <f t="shared" si="53"/>
        <v>277</v>
      </c>
      <c r="M96" s="686"/>
      <c r="N96" s="686"/>
      <c r="O96" s="686">
        <f t="shared" si="54"/>
        <v>277</v>
      </c>
    </row>
    <row r="97" spans="1:16" s="677" customFormat="1" ht="31.5" x14ac:dyDescent="0.25">
      <c r="A97" s="683"/>
      <c r="B97" s="678" t="s">
        <v>1237</v>
      </c>
      <c r="C97" s="686"/>
      <c r="D97" s="686"/>
      <c r="E97" s="686"/>
      <c r="F97" s="686"/>
      <c r="G97" s="686"/>
      <c r="H97" s="686"/>
      <c r="I97" s="686"/>
      <c r="J97" s="686">
        <f t="shared" si="51"/>
        <v>0</v>
      </c>
      <c r="K97" s="686">
        <f t="shared" si="52"/>
        <v>0</v>
      </c>
      <c r="L97" s="686">
        <f t="shared" si="53"/>
        <v>0</v>
      </c>
      <c r="M97" s="686">
        <v>-65</v>
      </c>
      <c r="N97" s="686"/>
      <c r="O97" s="686">
        <f t="shared" si="54"/>
        <v>-65</v>
      </c>
    </row>
    <row r="98" spans="1:16" s="677" customFormat="1" ht="16.5" thickBot="1" x14ac:dyDescent="0.3">
      <c r="A98" s="683"/>
      <c r="B98" s="684" t="s">
        <v>132</v>
      </c>
      <c r="C98" s="686"/>
      <c r="D98" s="686"/>
      <c r="E98" s="686"/>
      <c r="F98" s="686"/>
      <c r="G98" s="686"/>
      <c r="H98" s="686"/>
      <c r="I98" s="686"/>
      <c r="J98" s="686"/>
      <c r="K98" s="686"/>
      <c r="L98" s="686"/>
      <c r="M98" s="686"/>
      <c r="N98" s="686"/>
      <c r="O98" s="686"/>
    </row>
    <row r="99" spans="1:16" ht="17.25" thickTop="1" thickBot="1" x14ac:dyDescent="0.3">
      <c r="A99" s="667"/>
      <c r="B99" s="680" t="s">
        <v>379</v>
      </c>
      <c r="C99" s="680">
        <f>+C90+C94+C95+C96+C97</f>
        <v>6905</v>
      </c>
      <c r="D99" s="680">
        <f t="shared" ref="D99:O99" si="55">+D90+D94+D95+D96+D97</f>
        <v>0</v>
      </c>
      <c r="E99" s="680">
        <f t="shared" si="55"/>
        <v>0</v>
      </c>
      <c r="F99" s="680">
        <f t="shared" si="55"/>
        <v>2121</v>
      </c>
      <c r="G99" s="680">
        <f t="shared" si="55"/>
        <v>0</v>
      </c>
      <c r="H99" s="680">
        <f t="shared" si="55"/>
        <v>0</v>
      </c>
      <c r="I99" s="680">
        <f t="shared" si="55"/>
        <v>0</v>
      </c>
      <c r="J99" s="680">
        <f t="shared" si="55"/>
        <v>9026</v>
      </c>
      <c r="K99" s="680">
        <f t="shared" si="55"/>
        <v>0</v>
      </c>
      <c r="L99" s="680">
        <f t="shared" si="55"/>
        <v>9026</v>
      </c>
      <c r="M99" s="680">
        <f t="shared" si="55"/>
        <v>105307</v>
      </c>
      <c r="N99" s="680">
        <f t="shared" si="55"/>
        <v>691</v>
      </c>
      <c r="O99" s="680">
        <f t="shared" si="55"/>
        <v>115024</v>
      </c>
      <c r="P99" s="659">
        <f>O100+O101</f>
        <v>115024</v>
      </c>
    </row>
    <row r="100" spans="1:16" ht="17.25" thickTop="1" thickBot="1" x14ac:dyDescent="0.3">
      <c r="A100" s="667"/>
      <c r="B100" s="680" t="s">
        <v>378</v>
      </c>
      <c r="C100" s="680">
        <f t="shared" ref="C100:O100" si="56">+C91+C94+C95+C96+C97</f>
        <v>6905</v>
      </c>
      <c r="D100" s="680">
        <f t="shared" si="56"/>
        <v>0</v>
      </c>
      <c r="E100" s="680">
        <f t="shared" si="56"/>
        <v>0</v>
      </c>
      <c r="F100" s="680">
        <f t="shared" si="56"/>
        <v>2121</v>
      </c>
      <c r="G100" s="680">
        <f t="shared" si="56"/>
        <v>0</v>
      </c>
      <c r="H100" s="680">
        <f t="shared" si="56"/>
        <v>0</v>
      </c>
      <c r="I100" s="680">
        <f t="shared" si="56"/>
        <v>0</v>
      </c>
      <c r="J100" s="680">
        <f t="shared" si="56"/>
        <v>9026</v>
      </c>
      <c r="K100" s="680">
        <f t="shared" si="56"/>
        <v>0</v>
      </c>
      <c r="L100" s="680">
        <f t="shared" si="56"/>
        <v>9026</v>
      </c>
      <c r="M100" s="680">
        <f t="shared" si="56"/>
        <v>102504</v>
      </c>
      <c r="N100" s="680">
        <f t="shared" si="56"/>
        <v>691</v>
      </c>
      <c r="O100" s="680">
        <f t="shared" si="56"/>
        <v>112221</v>
      </c>
    </row>
    <row r="101" spans="1:16" ht="17.25" thickTop="1" thickBot="1" x14ac:dyDescent="0.3">
      <c r="A101" s="667"/>
      <c r="B101" s="680" t="s">
        <v>377</v>
      </c>
      <c r="C101" s="680">
        <f>+C92</f>
        <v>0</v>
      </c>
      <c r="D101" s="680">
        <f t="shared" ref="D101:O101" si="57">+D92</f>
        <v>0</v>
      </c>
      <c r="E101" s="680">
        <f t="shared" si="57"/>
        <v>0</v>
      </c>
      <c r="F101" s="680">
        <f t="shared" si="57"/>
        <v>0</v>
      </c>
      <c r="G101" s="680">
        <f t="shared" si="57"/>
        <v>0</v>
      </c>
      <c r="H101" s="680">
        <f t="shared" si="57"/>
        <v>0</v>
      </c>
      <c r="I101" s="680">
        <f t="shared" si="57"/>
        <v>0</v>
      </c>
      <c r="J101" s="680">
        <f t="shared" si="57"/>
        <v>0</v>
      </c>
      <c r="K101" s="680">
        <f t="shared" si="57"/>
        <v>0</v>
      </c>
      <c r="L101" s="680">
        <f t="shared" si="57"/>
        <v>0</v>
      </c>
      <c r="M101" s="680">
        <f t="shared" si="57"/>
        <v>2803</v>
      </c>
      <c r="N101" s="680">
        <f t="shared" si="57"/>
        <v>0</v>
      </c>
      <c r="O101" s="680">
        <f t="shared" si="57"/>
        <v>2803</v>
      </c>
    </row>
    <row r="102" spans="1:16" ht="17.25" thickTop="1" thickBot="1" x14ac:dyDescent="0.3">
      <c r="A102" s="667"/>
      <c r="B102" s="680" t="s">
        <v>404</v>
      </c>
      <c r="C102" s="680">
        <f t="shared" ref="C102:O102" si="58">SUM(C38+C50+C61+C75+C86+C99)</f>
        <v>39549</v>
      </c>
      <c r="D102" s="680">
        <f t="shared" si="58"/>
        <v>0</v>
      </c>
      <c r="E102" s="680">
        <f t="shared" si="58"/>
        <v>0</v>
      </c>
      <c r="F102" s="680">
        <f t="shared" si="58"/>
        <v>11914</v>
      </c>
      <c r="G102" s="680">
        <f t="shared" si="58"/>
        <v>0</v>
      </c>
      <c r="H102" s="680">
        <f t="shared" si="58"/>
        <v>0</v>
      </c>
      <c r="I102" s="680">
        <f t="shared" si="58"/>
        <v>0</v>
      </c>
      <c r="J102" s="680">
        <f t="shared" si="58"/>
        <v>51463</v>
      </c>
      <c r="K102" s="680">
        <f t="shared" si="58"/>
        <v>0</v>
      </c>
      <c r="L102" s="680">
        <f t="shared" si="58"/>
        <v>51463</v>
      </c>
      <c r="M102" s="680">
        <f t="shared" si="58"/>
        <v>626975</v>
      </c>
      <c r="N102" s="680">
        <f t="shared" si="58"/>
        <v>2806</v>
      </c>
      <c r="O102" s="680">
        <f t="shared" si="58"/>
        <v>681244</v>
      </c>
    </row>
    <row r="103" spans="1:16" ht="16.5" thickTop="1" x14ac:dyDescent="0.25">
      <c r="A103" s="671" t="s">
        <v>152</v>
      </c>
      <c r="B103" s="672" t="s">
        <v>403</v>
      </c>
      <c r="C103" s="672"/>
      <c r="D103" s="672"/>
      <c r="E103" s="672"/>
      <c r="F103" s="672"/>
      <c r="G103" s="672"/>
      <c r="H103" s="672"/>
      <c r="I103" s="672"/>
      <c r="J103" s="672"/>
      <c r="K103" s="672"/>
      <c r="L103" s="672"/>
      <c r="M103" s="672"/>
      <c r="N103" s="672"/>
      <c r="O103" s="672"/>
    </row>
    <row r="104" spans="1:16" x14ac:dyDescent="0.25">
      <c r="A104" s="671"/>
      <c r="B104" s="673" t="s">
        <v>347</v>
      </c>
      <c r="C104" s="673">
        <f t="shared" ref="C104:E104" si="59">SUM(C105:C106)</f>
        <v>15230</v>
      </c>
      <c r="D104" s="673">
        <f t="shared" si="59"/>
        <v>0</v>
      </c>
      <c r="E104" s="673">
        <f t="shared" si="59"/>
        <v>0</v>
      </c>
      <c r="F104" s="673">
        <f>SUM(F105:F106)</f>
        <v>8607</v>
      </c>
      <c r="G104" s="673"/>
      <c r="H104" s="673"/>
      <c r="I104" s="673"/>
      <c r="J104" s="673">
        <f>SUM(C104+E104+F104+H104)</f>
        <v>23837</v>
      </c>
      <c r="K104" s="673">
        <f>SUM(D104+G104+I104)</f>
        <v>0</v>
      </c>
      <c r="L104" s="673">
        <f>SUM(J104:K104)</f>
        <v>23837</v>
      </c>
      <c r="M104" s="673">
        <f>SUM(M105:M106)</f>
        <v>257058</v>
      </c>
      <c r="N104" s="673">
        <f>SUM(N105:N106)</f>
        <v>2023</v>
      </c>
      <c r="O104" s="673">
        <f>SUM(L104:N104)</f>
        <v>282918</v>
      </c>
    </row>
    <row r="105" spans="1:16" s="677" customFormat="1" x14ac:dyDescent="0.25">
      <c r="A105" s="674"/>
      <c r="B105" s="675" t="s">
        <v>381</v>
      </c>
      <c r="C105" s="675">
        <v>15230</v>
      </c>
      <c r="D105" s="675"/>
      <c r="E105" s="675"/>
      <c r="F105" s="675">
        <v>8607</v>
      </c>
      <c r="G105" s="675"/>
      <c r="H105" s="675"/>
      <c r="I105" s="675"/>
      <c r="J105" s="676">
        <f>SUM(C105+E105+F105+H105)</f>
        <v>23837</v>
      </c>
      <c r="K105" s="676">
        <f>SUM(D105+G105+I105)</f>
        <v>0</v>
      </c>
      <c r="L105" s="676">
        <f>SUM(J105:K105)</f>
        <v>23837</v>
      </c>
      <c r="M105" s="676">
        <v>251545</v>
      </c>
      <c r="N105" s="676">
        <v>2023</v>
      </c>
      <c r="O105" s="676">
        <f>SUM(L105:N105)</f>
        <v>277405</v>
      </c>
    </row>
    <row r="106" spans="1:16" s="677" customFormat="1" x14ac:dyDescent="0.25">
      <c r="A106" s="683"/>
      <c r="B106" s="675" t="s">
        <v>380</v>
      </c>
      <c r="C106" s="675"/>
      <c r="D106" s="675"/>
      <c r="E106" s="675"/>
      <c r="F106" s="675"/>
      <c r="G106" s="675"/>
      <c r="H106" s="675"/>
      <c r="I106" s="675"/>
      <c r="J106" s="676">
        <f>SUM(C106+E106+F106+H106)</f>
        <v>0</v>
      </c>
      <c r="K106" s="676">
        <f>SUM(D106+G106+I106)</f>
        <v>0</v>
      </c>
      <c r="L106" s="676">
        <f>SUM(J106:K106)</f>
        <v>0</v>
      </c>
      <c r="M106" s="676">
        <v>5513</v>
      </c>
      <c r="N106" s="676"/>
      <c r="O106" s="676">
        <f>SUM(L106:N106)</f>
        <v>5513</v>
      </c>
    </row>
    <row r="107" spans="1:16" s="677" customFormat="1" x14ac:dyDescent="0.25">
      <c r="A107" s="683"/>
      <c r="B107" s="675" t="s">
        <v>131</v>
      </c>
      <c r="C107" s="678"/>
      <c r="D107" s="678"/>
      <c r="E107" s="678"/>
      <c r="F107" s="678"/>
      <c r="G107" s="678"/>
      <c r="H107" s="678"/>
      <c r="I107" s="678"/>
      <c r="J107" s="678"/>
      <c r="K107" s="678"/>
      <c r="L107" s="678"/>
      <c r="M107" s="678"/>
      <c r="N107" s="678"/>
      <c r="O107" s="678"/>
    </row>
    <row r="108" spans="1:16" s="677" customFormat="1" ht="31.5" x14ac:dyDescent="0.25">
      <c r="A108" s="683"/>
      <c r="B108" s="678" t="s">
        <v>1235</v>
      </c>
      <c r="C108" s="678"/>
      <c r="D108" s="678"/>
      <c r="E108" s="678"/>
      <c r="F108" s="678"/>
      <c r="G108" s="678"/>
      <c r="H108" s="678"/>
      <c r="I108" s="678"/>
      <c r="J108" s="678">
        <f t="shared" ref="J108:J109" si="60">SUM(C108+E108+F108+H108)</f>
        <v>0</v>
      </c>
      <c r="K108" s="678">
        <f t="shared" ref="K108:K109" si="61">SUM(D108+G108+I108)</f>
        <v>0</v>
      </c>
      <c r="L108" s="678">
        <f t="shared" ref="L108:L109" si="62">SUM(J108:K108)</f>
        <v>0</v>
      </c>
      <c r="M108" s="678">
        <v>-24</v>
      </c>
      <c r="N108" s="678">
        <v>24</v>
      </c>
      <c r="O108" s="678">
        <f t="shared" ref="O108:O109" si="63">SUM(L108:N108)</f>
        <v>0</v>
      </c>
    </row>
    <row r="109" spans="1:16" s="677" customFormat="1" ht="31.5" x14ac:dyDescent="0.25">
      <c r="A109" s="683"/>
      <c r="B109" s="679" t="s">
        <v>915</v>
      </c>
      <c r="C109" s="678">
        <v>500</v>
      </c>
      <c r="D109" s="678"/>
      <c r="E109" s="678"/>
      <c r="F109" s="678">
        <v>2040</v>
      </c>
      <c r="G109" s="678"/>
      <c r="H109" s="678"/>
      <c r="I109" s="678"/>
      <c r="J109" s="678">
        <f t="shared" si="60"/>
        <v>2540</v>
      </c>
      <c r="K109" s="678">
        <f t="shared" si="61"/>
        <v>0</v>
      </c>
      <c r="L109" s="678">
        <f t="shared" si="62"/>
        <v>2540</v>
      </c>
      <c r="M109" s="678"/>
      <c r="N109" s="678"/>
      <c r="O109" s="678">
        <f t="shared" si="63"/>
        <v>2540</v>
      </c>
    </row>
    <row r="110" spans="1:16" s="677" customFormat="1" ht="16.5" thickBot="1" x14ac:dyDescent="0.3">
      <c r="A110" s="683"/>
      <c r="B110" s="675" t="s">
        <v>132</v>
      </c>
      <c r="C110" s="678"/>
      <c r="D110" s="678"/>
      <c r="E110" s="678"/>
      <c r="F110" s="678"/>
      <c r="G110" s="678"/>
      <c r="H110" s="678"/>
      <c r="I110" s="678"/>
      <c r="J110" s="678"/>
      <c r="K110" s="678"/>
      <c r="L110" s="678"/>
      <c r="M110" s="678"/>
      <c r="N110" s="678"/>
      <c r="O110" s="678"/>
    </row>
    <row r="111" spans="1:16" ht="17.25" thickTop="1" thickBot="1" x14ac:dyDescent="0.3">
      <c r="A111" s="667"/>
      <c r="B111" s="680" t="s">
        <v>379</v>
      </c>
      <c r="C111" s="680">
        <f>+C104+C108+C109</f>
        <v>15730</v>
      </c>
      <c r="D111" s="680">
        <f t="shared" ref="D111:O111" si="64">+D104+D108+D109</f>
        <v>0</v>
      </c>
      <c r="E111" s="680">
        <f t="shared" si="64"/>
        <v>0</v>
      </c>
      <c r="F111" s="680">
        <f t="shared" si="64"/>
        <v>10647</v>
      </c>
      <c r="G111" s="680">
        <f t="shared" si="64"/>
        <v>0</v>
      </c>
      <c r="H111" s="680">
        <f t="shared" si="64"/>
        <v>0</v>
      </c>
      <c r="I111" s="680">
        <f t="shared" si="64"/>
        <v>0</v>
      </c>
      <c r="J111" s="680">
        <f t="shared" si="64"/>
        <v>26377</v>
      </c>
      <c r="K111" s="680">
        <f t="shared" si="64"/>
        <v>0</v>
      </c>
      <c r="L111" s="680">
        <f t="shared" si="64"/>
        <v>26377</v>
      </c>
      <c r="M111" s="680">
        <f t="shared" si="64"/>
        <v>257034</v>
      </c>
      <c r="N111" s="680">
        <f t="shared" si="64"/>
        <v>2047</v>
      </c>
      <c r="O111" s="680">
        <f t="shared" si="64"/>
        <v>285458</v>
      </c>
      <c r="P111" s="659">
        <f>O112+O113</f>
        <v>285458</v>
      </c>
    </row>
    <row r="112" spans="1:16" ht="17.25" thickTop="1" thickBot="1" x14ac:dyDescent="0.3">
      <c r="A112" s="667"/>
      <c r="B112" s="680" t="s">
        <v>378</v>
      </c>
      <c r="C112" s="680">
        <f>+C105+C108+C109</f>
        <v>15730</v>
      </c>
      <c r="D112" s="680">
        <f t="shared" ref="D112:O112" si="65">+D105+D108+D109</f>
        <v>0</v>
      </c>
      <c r="E112" s="680">
        <f t="shared" si="65"/>
        <v>0</v>
      </c>
      <c r="F112" s="680">
        <f t="shared" si="65"/>
        <v>10647</v>
      </c>
      <c r="G112" s="680">
        <f t="shared" si="65"/>
        <v>0</v>
      </c>
      <c r="H112" s="680">
        <f t="shared" si="65"/>
        <v>0</v>
      </c>
      <c r="I112" s="680">
        <f t="shared" si="65"/>
        <v>0</v>
      </c>
      <c r="J112" s="680">
        <f t="shared" si="65"/>
        <v>26377</v>
      </c>
      <c r="K112" s="680">
        <f t="shared" si="65"/>
        <v>0</v>
      </c>
      <c r="L112" s="680">
        <f t="shared" si="65"/>
        <v>26377</v>
      </c>
      <c r="M112" s="680">
        <f t="shared" si="65"/>
        <v>251521</v>
      </c>
      <c r="N112" s="680">
        <f t="shared" si="65"/>
        <v>2047</v>
      </c>
      <c r="O112" s="680">
        <f t="shared" si="65"/>
        <v>279945</v>
      </c>
    </row>
    <row r="113" spans="1:16" ht="17.25" thickTop="1" thickBot="1" x14ac:dyDescent="0.3">
      <c r="A113" s="671"/>
      <c r="B113" s="680" t="s">
        <v>377</v>
      </c>
      <c r="C113" s="680">
        <f>+C106</f>
        <v>0</v>
      </c>
      <c r="D113" s="680">
        <f t="shared" ref="D113:O113" si="66">+D106</f>
        <v>0</v>
      </c>
      <c r="E113" s="680">
        <f t="shared" si="66"/>
        <v>0</v>
      </c>
      <c r="F113" s="680">
        <f t="shared" si="66"/>
        <v>0</v>
      </c>
      <c r="G113" s="680">
        <f t="shared" si="66"/>
        <v>0</v>
      </c>
      <c r="H113" s="680">
        <f t="shared" si="66"/>
        <v>0</v>
      </c>
      <c r="I113" s="680">
        <f t="shared" si="66"/>
        <v>0</v>
      </c>
      <c r="J113" s="680">
        <f t="shared" si="66"/>
        <v>0</v>
      </c>
      <c r="K113" s="680">
        <f t="shared" si="66"/>
        <v>0</v>
      </c>
      <c r="L113" s="680">
        <f t="shared" si="66"/>
        <v>0</v>
      </c>
      <c r="M113" s="680">
        <f t="shared" si="66"/>
        <v>5513</v>
      </c>
      <c r="N113" s="680">
        <f t="shared" si="66"/>
        <v>0</v>
      </c>
      <c r="O113" s="680">
        <f t="shared" si="66"/>
        <v>5513</v>
      </c>
    </row>
    <row r="114" spans="1:16" ht="16.5" thickTop="1" x14ac:dyDescent="0.25">
      <c r="A114" s="671" t="s">
        <v>0</v>
      </c>
      <c r="B114" s="672" t="s">
        <v>657</v>
      </c>
      <c r="C114" s="672"/>
      <c r="D114" s="672"/>
      <c r="E114" s="672"/>
      <c r="F114" s="672"/>
      <c r="G114" s="672"/>
      <c r="H114" s="672"/>
      <c r="I114" s="672"/>
      <c r="J114" s="672"/>
      <c r="K114" s="672"/>
      <c r="L114" s="672"/>
      <c r="M114" s="672"/>
      <c r="N114" s="672"/>
      <c r="O114" s="672"/>
    </row>
    <row r="115" spans="1:16" x14ac:dyDescent="0.25">
      <c r="A115" s="671"/>
      <c r="B115" s="673" t="s">
        <v>347</v>
      </c>
      <c r="C115" s="673">
        <f t="shared" ref="C115:E115" si="67">SUM(C116:C117)</f>
        <v>14121</v>
      </c>
      <c r="D115" s="673">
        <f t="shared" si="67"/>
        <v>0</v>
      </c>
      <c r="E115" s="673">
        <f t="shared" si="67"/>
        <v>0</v>
      </c>
      <c r="F115" s="673">
        <f>SUM(F116:F117)</f>
        <v>6040</v>
      </c>
      <c r="G115" s="673"/>
      <c r="H115" s="673"/>
      <c r="I115" s="673"/>
      <c r="J115" s="673">
        <f>SUM(C115+E115+F115+H115)</f>
        <v>20161</v>
      </c>
      <c r="K115" s="673">
        <f>SUM(D115+G115+I115)</f>
        <v>0</v>
      </c>
      <c r="L115" s="673">
        <f>SUM(J115:K115)</f>
        <v>20161</v>
      </c>
      <c r="M115" s="673">
        <f>SUM(M116:M117)</f>
        <v>233295</v>
      </c>
      <c r="N115" s="673">
        <f>SUM(N116:N117)</f>
        <v>1205</v>
      </c>
      <c r="O115" s="673">
        <f>SUM(L115:N115)</f>
        <v>254661</v>
      </c>
    </row>
    <row r="116" spans="1:16" s="677" customFormat="1" x14ac:dyDescent="0.25">
      <c r="A116" s="674"/>
      <c r="B116" s="675" t="s">
        <v>381</v>
      </c>
      <c r="C116" s="675">
        <v>14121</v>
      </c>
      <c r="D116" s="675"/>
      <c r="E116" s="675"/>
      <c r="F116" s="675">
        <v>6040</v>
      </c>
      <c r="G116" s="675"/>
      <c r="H116" s="675"/>
      <c r="I116" s="675"/>
      <c r="J116" s="676">
        <f>SUM(C116+E116+F116+H116)</f>
        <v>20161</v>
      </c>
      <c r="K116" s="676">
        <f>SUM(D116+G116+I116)</f>
        <v>0</v>
      </c>
      <c r="L116" s="676">
        <f>SUM(J116:K116)</f>
        <v>20161</v>
      </c>
      <c r="M116" s="676">
        <v>228356</v>
      </c>
      <c r="N116" s="676">
        <v>1205</v>
      </c>
      <c r="O116" s="676">
        <f>SUM(L116:N116)</f>
        <v>249722</v>
      </c>
    </row>
    <row r="117" spans="1:16" s="677" customFormat="1" x14ac:dyDescent="0.25">
      <c r="A117" s="674"/>
      <c r="B117" s="675" t="s">
        <v>380</v>
      </c>
      <c r="C117" s="675"/>
      <c r="D117" s="675"/>
      <c r="E117" s="675"/>
      <c r="F117" s="675"/>
      <c r="G117" s="675"/>
      <c r="H117" s="675"/>
      <c r="I117" s="675"/>
      <c r="J117" s="676">
        <f>SUM(C117+E117+F117+H117)</f>
        <v>0</v>
      </c>
      <c r="K117" s="676">
        <f>SUM(D117+G117+I117)</f>
        <v>0</v>
      </c>
      <c r="L117" s="676">
        <f>SUM(J117:K117)</f>
        <v>0</v>
      </c>
      <c r="M117" s="676">
        <v>4939</v>
      </c>
      <c r="N117" s="676"/>
      <c r="O117" s="676">
        <f>SUM(L117:N117)</f>
        <v>4939</v>
      </c>
    </row>
    <row r="118" spans="1:16" s="677" customFormat="1" x14ac:dyDescent="0.25">
      <c r="A118" s="674"/>
      <c r="B118" s="675" t="s">
        <v>131</v>
      </c>
      <c r="C118" s="678"/>
      <c r="D118" s="678"/>
      <c r="E118" s="678"/>
      <c r="F118" s="678"/>
      <c r="G118" s="678"/>
      <c r="H118" s="678"/>
      <c r="I118" s="678"/>
      <c r="J118" s="678"/>
      <c r="K118" s="678"/>
      <c r="L118" s="678"/>
      <c r="M118" s="678"/>
      <c r="N118" s="678"/>
      <c r="O118" s="678"/>
    </row>
    <row r="119" spans="1:16" s="677" customFormat="1" ht="31.5" x14ac:dyDescent="0.25">
      <c r="A119" s="674"/>
      <c r="B119" s="678" t="s">
        <v>1235</v>
      </c>
      <c r="C119" s="688"/>
      <c r="D119" s="688"/>
      <c r="E119" s="688"/>
      <c r="F119" s="688"/>
      <c r="G119" s="688"/>
      <c r="H119" s="688"/>
      <c r="I119" s="688"/>
      <c r="J119" s="688">
        <f t="shared" ref="J119:J122" si="68">SUM(C119+E119+F119+H119)</f>
        <v>0</v>
      </c>
      <c r="K119" s="688">
        <f t="shared" ref="K119:K122" si="69">SUM(D119+G119+I119)</f>
        <v>0</v>
      </c>
      <c r="L119" s="688">
        <f t="shared" ref="L119:L122" si="70">SUM(J119:K119)</f>
        <v>0</v>
      </c>
      <c r="M119" s="688">
        <v>-376</v>
      </c>
      <c r="N119" s="688">
        <v>376</v>
      </c>
      <c r="O119" s="688">
        <f t="shared" ref="O119:O122" si="71">SUM(L119:N119)</f>
        <v>0</v>
      </c>
    </row>
    <row r="120" spans="1:16" s="677" customFormat="1" ht="47.25" x14ac:dyDescent="0.25">
      <c r="A120" s="674"/>
      <c r="B120" s="679" t="s">
        <v>1215</v>
      </c>
      <c r="C120" s="688"/>
      <c r="D120" s="688"/>
      <c r="E120" s="688"/>
      <c r="F120" s="688"/>
      <c r="G120" s="688"/>
      <c r="H120" s="688"/>
      <c r="I120" s="688"/>
      <c r="J120" s="688">
        <f t="shared" si="68"/>
        <v>0</v>
      </c>
      <c r="K120" s="688">
        <f t="shared" si="69"/>
        <v>0</v>
      </c>
      <c r="L120" s="688">
        <f t="shared" si="70"/>
        <v>0</v>
      </c>
      <c r="M120" s="688">
        <v>306</v>
      </c>
      <c r="N120" s="688"/>
      <c r="O120" s="688">
        <f t="shared" si="71"/>
        <v>306</v>
      </c>
    </row>
    <row r="121" spans="1:16" s="677" customFormat="1" x14ac:dyDescent="0.25">
      <c r="A121" s="674"/>
      <c r="B121" s="678" t="s">
        <v>1217</v>
      </c>
      <c r="C121" s="688"/>
      <c r="D121" s="688"/>
      <c r="E121" s="688"/>
      <c r="F121" s="688"/>
      <c r="G121" s="688"/>
      <c r="H121" s="688"/>
      <c r="I121" s="688"/>
      <c r="J121" s="688">
        <f t="shared" si="68"/>
        <v>0</v>
      </c>
      <c r="K121" s="688">
        <f t="shared" si="69"/>
        <v>0</v>
      </c>
      <c r="L121" s="688">
        <f t="shared" si="70"/>
        <v>0</v>
      </c>
      <c r="M121" s="688">
        <v>122</v>
      </c>
      <c r="N121" s="688"/>
      <c r="O121" s="688">
        <f t="shared" si="71"/>
        <v>122</v>
      </c>
    </row>
    <row r="122" spans="1:16" s="677" customFormat="1" ht="31.5" x14ac:dyDescent="0.25">
      <c r="A122" s="683"/>
      <c r="B122" s="724" t="s">
        <v>915</v>
      </c>
      <c r="C122" s="686"/>
      <c r="D122" s="686"/>
      <c r="E122" s="686"/>
      <c r="F122" s="686">
        <v>3026</v>
      </c>
      <c r="G122" s="686"/>
      <c r="H122" s="686"/>
      <c r="I122" s="686"/>
      <c r="J122" s="686">
        <f t="shared" si="68"/>
        <v>3026</v>
      </c>
      <c r="K122" s="686">
        <f t="shared" si="69"/>
        <v>0</v>
      </c>
      <c r="L122" s="686">
        <f t="shared" si="70"/>
        <v>3026</v>
      </c>
      <c r="M122" s="686"/>
      <c r="N122" s="686"/>
      <c r="O122" s="686">
        <f t="shared" si="71"/>
        <v>3026</v>
      </c>
    </row>
    <row r="123" spans="1:16" s="677" customFormat="1" ht="16.5" thickBot="1" x14ac:dyDescent="0.3">
      <c r="A123" s="948"/>
      <c r="B123" s="949" t="s">
        <v>132</v>
      </c>
      <c r="C123" s="950"/>
      <c r="D123" s="950"/>
      <c r="E123" s="950"/>
      <c r="F123" s="950"/>
      <c r="G123" s="950"/>
      <c r="H123" s="950"/>
      <c r="I123" s="950"/>
      <c r="J123" s="950"/>
      <c r="K123" s="950"/>
      <c r="L123" s="950"/>
      <c r="M123" s="950"/>
      <c r="N123" s="950"/>
      <c r="O123" s="950"/>
    </row>
    <row r="124" spans="1:16" ht="17.25" thickTop="1" thickBot="1" x14ac:dyDescent="0.3">
      <c r="A124" s="667"/>
      <c r="B124" s="680" t="s">
        <v>379</v>
      </c>
      <c r="C124" s="680">
        <f>+C115+C119+C120+C121+C122</f>
        <v>14121</v>
      </c>
      <c r="D124" s="680">
        <f t="shared" ref="D124:O124" si="72">+D115+D119+D120+D121+D122</f>
        <v>0</v>
      </c>
      <c r="E124" s="680">
        <f t="shared" si="72"/>
        <v>0</v>
      </c>
      <c r="F124" s="680">
        <f t="shared" si="72"/>
        <v>9066</v>
      </c>
      <c r="G124" s="680">
        <f t="shared" si="72"/>
        <v>0</v>
      </c>
      <c r="H124" s="680">
        <f t="shared" si="72"/>
        <v>0</v>
      </c>
      <c r="I124" s="680">
        <f t="shared" si="72"/>
        <v>0</v>
      </c>
      <c r="J124" s="680">
        <f t="shared" si="72"/>
        <v>23187</v>
      </c>
      <c r="K124" s="680">
        <f t="shared" si="72"/>
        <v>0</v>
      </c>
      <c r="L124" s="680">
        <f t="shared" si="72"/>
        <v>23187</v>
      </c>
      <c r="M124" s="680">
        <f t="shared" si="72"/>
        <v>233347</v>
      </c>
      <c r="N124" s="680">
        <f t="shared" si="72"/>
        <v>1581</v>
      </c>
      <c r="O124" s="680">
        <f t="shared" si="72"/>
        <v>258115</v>
      </c>
      <c r="P124" s="659">
        <f>O125+O126</f>
        <v>258115</v>
      </c>
    </row>
    <row r="125" spans="1:16" ht="17.25" thickTop="1" thickBot="1" x14ac:dyDescent="0.3">
      <c r="A125" s="667"/>
      <c r="B125" s="680" t="s">
        <v>378</v>
      </c>
      <c r="C125" s="680">
        <f>+C116+C119+C120+C121+C122</f>
        <v>14121</v>
      </c>
      <c r="D125" s="680">
        <f t="shared" ref="D125:O125" si="73">+D116+D119+D120+D121+D122</f>
        <v>0</v>
      </c>
      <c r="E125" s="680">
        <f t="shared" si="73"/>
        <v>0</v>
      </c>
      <c r="F125" s="680">
        <f t="shared" si="73"/>
        <v>9066</v>
      </c>
      <c r="G125" s="680">
        <f t="shared" si="73"/>
        <v>0</v>
      </c>
      <c r="H125" s="680">
        <f t="shared" si="73"/>
        <v>0</v>
      </c>
      <c r="I125" s="680">
        <f t="shared" si="73"/>
        <v>0</v>
      </c>
      <c r="J125" s="680">
        <f t="shared" si="73"/>
        <v>23187</v>
      </c>
      <c r="K125" s="680">
        <f t="shared" si="73"/>
        <v>0</v>
      </c>
      <c r="L125" s="680">
        <f t="shared" si="73"/>
        <v>23187</v>
      </c>
      <c r="M125" s="680">
        <f t="shared" si="73"/>
        <v>228408</v>
      </c>
      <c r="N125" s="680">
        <f t="shared" si="73"/>
        <v>1581</v>
      </c>
      <c r="O125" s="680">
        <f t="shared" si="73"/>
        <v>253176</v>
      </c>
    </row>
    <row r="126" spans="1:16" ht="17.25" thickTop="1" thickBot="1" x14ac:dyDescent="0.3">
      <c r="A126" s="667"/>
      <c r="B126" s="680" t="s">
        <v>377</v>
      </c>
      <c r="C126" s="680">
        <f>+C117</f>
        <v>0</v>
      </c>
      <c r="D126" s="680">
        <f t="shared" ref="D126:O126" si="74">+D117</f>
        <v>0</v>
      </c>
      <c r="E126" s="680">
        <f t="shared" si="74"/>
        <v>0</v>
      </c>
      <c r="F126" s="680">
        <f t="shared" si="74"/>
        <v>0</v>
      </c>
      <c r="G126" s="680">
        <f t="shared" si="74"/>
        <v>0</v>
      </c>
      <c r="H126" s="680">
        <f t="shared" si="74"/>
        <v>0</v>
      </c>
      <c r="I126" s="680">
        <f t="shared" si="74"/>
        <v>0</v>
      </c>
      <c r="J126" s="680">
        <f t="shared" si="74"/>
        <v>0</v>
      </c>
      <c r="K126" s="680">
        <f t="shared" si="74"/>
        <v>0</v>
      </c>
      <c r="L126" s="680">
        <f t="shared" si="74"/>
        <v>0</v>
      </c>
      <c r="M126" s="680">
        <f t="shared" si="74"/>
        <v>4939</v>
      </c>
      <c r="N126" s="680">
        <f t="shared" si="74"/>
        <v>0</v>
      </c>
      <c r="O126" s="680">
        <f t="shared" si="74"/>
        <v>4939</v>
      </c>
    </row>
    <row r="127" spans="1:16" ht="32.25" thickTop="1" x14ac:dyDescent="0.25">
      <c r="A127" s="671" t="s">
        <v>1</v>
      </c>
      <c r="B127" s="672" t="s">
        <v>658</v>
      </c>
      <c r="C127" s="672"/>
      <c r="D127" s="672"/>
      <c r="E127" s="672"/>
      <c r="F127" s="672"/>
      <c r="G127" s="672"/>
      <c r="H127" s="672"/>
      <c r="I127" s="672"/>
      <c r="J127" s="672"/>
      <c r="K127" s="672"/>
      <c r="L127" s="672"/>
      <c r="M127" s="672"/>
      <c r="N127" s="672"/>
      <c r="O127" s="672"/>
    </row>
    <row r="128" spans="1:16" x14ac:dyDescent="0.25">
      <c r="A128" s="671"/>
      <c r="B128" s="673" t="s">
        <v>347</v>
      </c>
      <c r="C128" s="673">
        <f t="shared" ref="C128:E128" si="75">SUM(C129:C130)</f>
        <v>12763</v>
      </c>
      <c r="D128" s="673">
        <f t="shared" si="75"/>
        <v>0</v>
      </c>
      <c r="E128" s="673">
        <f t="shared" si="75"/>
        <v>0</v>
      </c>
      <c r="F128" s="673">
        <f>SUM(F129:F130)</f>
        <v>13588</v>
      </c>
      <c r="G128" s="673"/>
      <c r="H128" s="673"/>
      <c r="I128" s="673"/>
      <c r="J128" s="673">
        <f>SUM(C128+E128+F128+H128)</f>
        <v>26351</v>
      </c>
      <c r="K128" s="673">
        <f>SUM(D128+G128+I128)</f>
        <v>0</v>
      </c>
      <c r="L128" s="673">
        <f>SUM(J128:K128)</f>
        <v>26351</v>
      </c>
      <c r="M128" s="673">
        <f>SUM(M129:M130)</f>
        <v>292797</v>
      </c>
      <c r="N128" s="673">
        <f>SUM(N129:N130)</f>
        <v>5590</v>
      </c>
      <c r="O128" s="673">
        <f>SUM(L128:N128)</f>
        <v>324738</v>
      </c>
    </row>
    <row r="129" spans="1:16" s="677" customFormat="1" x14ac:dyDescent="0.25">
      <c r="A129" s="674"/>
      <c r="B129" s="675" t="s">
        <v>381</v>
      </c>
      <c r="C129" s="675">
        <v>12763</v>
      </c>
      <c r="D129" s="675"/>
      <c r="E129" s="675"/>
      <c r="F129" s="675">
        <v>13588</v>
      </c>
      <c r="G129" s="675"/>
      <c r="H129" s="675"/>
      <c r="I129" s="675"/>
      <c r="J129" s="676">
        <f>SUM(C129+E129+F129+H129)</f>
        <v>26351</v>
      </c>
      <c r="K129" s="676">
        <f>SUM(D129+G129+I129)</f>
        <v>0</v>
      </c>
      <c r="L129" s="676">
        <f>SUM(J129:K129)</f>
        <v>26351</v>
      </c>
      <c r="M129" s="676">
        <v>287274</v>
      </c>
      <c r="N129" s="676">
        <v>5590</v>
      </c>
      <c r="O129" s="676">
        <f>SUM(L129:N129)</f>
        <v>319215</v>
      </c>
    </row>
    <row r="130" spans="1:16" s="677" customFormat="1" x14ac:dyDescent="0.25">
      <c r="A130" s="674"/>
      <c r="B130" s="675" t="s">
        <v>380</v>
      </c>
      <c r="C130" s="675"/>
      <c r="D130" s="675"/>
      <c r="E130" s="675"/>
      <c r="F130" s="675"/>
      <c r="G130" s="675"/>
      <c r="H130" s="675"/>
      <c r="I130" s="675"/>
      <c r="J130" s="676">
        <f>SUM(C130+E130+F130+H130)</f>
        <v>0</v>
      </c>
      <c r="K130" s="676">
        <f>SUM(D130+G130+I130)</f>
        <v>0</v>
      </c>
      <c r="L130" s="676">
        <f>SUM(J130:K130)</f>
        <v>0</v>
      </c>
      <c r="M130" s="676">
        <v>5523</v>
      </c>
      <c r="N130" s="676"/>
      <c r="O130" s="676">
        <f>SUM(L130:N130)</f>
        <v>5523</v>
      </c>
    </row>
    <row r="131" spans="1:16" s="677" customFormat="1" x14ac:dyDescent="0.25">
      <c r="A131" s="674"/>
      <c r="B131" s="675" t="s">
        <v>131</v>
      </c>
      <c r="C131" s="678"/>
      <c r="D131" s="678"/>
      <c r="E131" s="678"/>
      <c r="F131" s="678"/>
      <c r="G131" s="678"/>
      <c r="H131" s="678"/>
      <c r="I131" s="678"/>
      <c r="J131" s="678"/>
      <c r="K131" s="678"/>
      <c r="L131" s="678"/>
      <c r="M131" s="678"/>
      <c r="N131" s="678"/>
      <c r="O131" s="678"/>
    </row>
    <row r="132" spans="1:16" s="677" customFormat="1" ht="31.5" x14ac:dyDescent="0.25">
      <c r="A132" s="674"/>
      <c r="B132" s="678" t="s">
        <v>1235</v>
      </c>
      <c r="C132" s="678"/>
      <c r="D132" s="678"/>
      <c r="E132" s="678"/>
      <c r="F132" s="678"/>
      <c r="G132" s="678"/>
      <c r="H132" s="678"/>
      <c r="I132" s="678"/>
      <c r="J132" s="678">
        <f t="shared" ref="J132:J135" si="76">SUM(C132+E132+F132+H132)</f>
        <v>0</v>
      </c>
      <c r="K132" s="678">
        <f t="shared" ref="K132:K135" si="77">SUM(D132+G132+I132)</f>
        <v>0</v>
      </c>
      <c r="L132" s="678">
        <f t="shared" ref="L132:L135" si="78">SUM(J132:K132)</f>
        <v>0</v>
      </c>
      <c r="M132" s="678">
        <v>4374</v>
      </c>
      <c r="N132" s="678">
        <v>-4374</v>
      </c>
      <c r="O132" s="678">
        <f t="shared" ref="O132:O135" si="79">SUM(L132:N132)</f>
        <v>0</v>
      </c>
    </row>
    <row r="133" spans="1:16" s="677" customFormat="1" ht="47.25" x14ac:dyDescent="0.25">
      <c r="A133" s="674"/>
      <c r="B133" s="679" t="s">
        <v>1215</v>
      </c>
      <c r="C133" s="678"/>
      <c r="D133" s="678"/>
      <c r="E133" s="678"/>
      <c r="F133" s="678"/>
      <c r="G133" s="678"/>
      <c r="H133" s="678"/>
      <c r="I133" s="678"/>
      <c r="J133" s="678">
        <f t="shared" si="76"/>
        <v>0</v>
      </c>
      <c r="K133" s="678">
        <f t="shared" si="77"/>
        <v>0</v>
      </c>
      <c r="L133" s="678">
        <f t="shared" si="78"/>
        <v>0</v>
      </c>
      <c r="M133" s="678">
        <v>748</v>
      </c>
      <c r="N133" s="678"/>
      <c r="O133" s="678">
        <f t="shared" si="79"/>
        <v>748</v>
      </c>
    </row>
    <row r="134" spans="1:16" s="677" customFormat="1" x14ac:dyDescent="0.25">
      <c r="A134" s="674"/>
      <c r="B134" s="678" t="s">
        <v>1217</v>
      </c>
      <c r="C134" s="678"/>
      <c r="D134" s="678"/>
      <c r="E134" s="678"/>
      <c r="F134" s="678"/>
      <c r="G134" s="678"/>
      <c r="H134" s="678"/>
      <c r="I134" s="678"/>
      <c r="J134" s="678">
        <f t="shared" si="76"/>
        <v>0</v>
      </c>
      <c r="K134" s="678">
        <f t="shared" si="77"/>
        <v>0</v>
      </c>
      <c r="L134" s="678">
        <f t="shared" si="78"/>
        <v>0</v>
      </c>
      <c r="M134" s="678">
        <v>244</v>
      </c>
      <c r="N134" s="678"/>
      <c r="O134" s="678">
        <f t="shared" si="79"/>
        <v>244</v>
      </c>
    </row>
    <row r="135" spans="1:16" s="677" customFormat="1" ht="31.5" x14ac:dyDescent="0.25">
      <c r="A135" s="674"/>
      <c r="B135" s="679" t="s">
        <v>915</v>
      </c>
      <c r="C135" s="678"/>
      <c r="D135" s="678"/>
      <c r="E135" s="678"/>
      <c r="F135" s="678">
        <v>2010</v>
      </c>
      <c r="G135" s="678"/>
      <c r="H135" s="678"/>
      <c r="I135" s="678"/>
      <c r="J135" s="678">
        <f t="shared" si="76"/>
        <v>2010</v>
      </c>
      <c r="K135" s="678">
        <f t="shared" si="77"/>
        <v>0</v>
      </c>
      <c r="L135" s="678">
        <f t="shared" si="78"/>
        <v>2010</v>
      </c>
      <c r="M135" s="678"/>
      <c r="N135" s="678"/>
      <c r="O135" s="678">
        <f t="shared" si="79"/>
        <v>2010</v>
      </c>
    </row>
    <row r="136" spans="1:16" s="677" customFormat="1" ht="16.5" thickBot="1" x14ac:dyDescent="0.3">
      <c r="A136" s="674"/>
      <c r="B136" s="675" t="s">
        <v>132</v>
      </c>
      <c r="C136" s="678"/>
      <c r="D136" s="678"/>
      <c r="E136" s="678"/>
      <c r="F136" s="678"/>
      <c r="G136" s="678"/>
      <c r="H136" s="678"/>
      <c r="I136" s="678"/>
      <c r="J136" s="678"/>
      <c r="K136" s="678"/>
      <c r="L136" s="678"/>
      <c r="M136" s="678"/>
      <c r="N136" s="678"/>
      <c r="O136" s="678"/>
    </row>
    <row r="137" spans="1:16" ht="17.25" thickTop="1" thickBot="1" x14ac:dyDescent="0.3">
      <c r="A137" s="667"/>
      <c r="B137" s="680" t="s">
        <v>379</v>
      </c>
      <c r="C137" s="680">
        <f>+C128+C132+C133+C134+C135</f>
        <v>12763</v>
      </c>
      <c r="D137" s="680">
        <f t="shared" ref="D137:O137" si="80">+D128+D132+D133+D134+D135</f>
        <v>0</v>
      </c>
      <c r="E137" s="680">
        <f t="shared" si="80"/>
        <v>0</v>
      </c>
      <c r="F137" s="680">
        <f t="shared" si="80"/>
        <v>15598</v>
      </c>
      <c r="G137" s="680">
        <f t="shared" si="80"/>
        <v>0</v>
      </c>
      <c r="H137" s="680">
        <f t="shared" si="80"/>
        <v>0</v>
      </c>
      <c r="I137" s="680">
        <f t="shared" si="80"/>
        <v>0</v>
      </c>
      <c r="J137" s="680">
        <f t="shared" si="80"/>
        <v>28361</v>
      </c>
      <c r="K137" s="680">
        <f t="shared" si="80"/>
        <v>0</v>
      </c>
      <c r="L137" s="680">
        <f t="shared" si="80"/>
        <v>28361</v>
      </c>
      <c r="M137" s="680">
        <f t="shared" si="80"/>
        <v>298163</v>
      </c>
      <c r="N137" s="680">
        <f t="shared" si="80"/>
        <v>1216</v>
      </c>
      <c r="O137" s="680">
        <f t="shared" si="80"/>
        <v>327740</v>
      </c>
      <c r="P137" s="659">
        <f>O138+O139</f>
        <v>327740</v>
      </c>
    </row>
    <row r="138" spans="1:16" ht="17.25" thickTop="1" thickBot="1" x14ac:dyDescent="0.3">
      <c r="A138" s="667"/>
      <c r="B138" s="680" t="s">
        <v>378</v>
      </c>
      <c r="C138" s="680">
        <f>+C129+C132+C133+C134+C135</f>
        <v>12763</v>
      </c>
      <c r="D138" s="680">
        <f t="shared" ref="D138:O138" si="81">+D129+D132+D133+D134+D135</f>
        <v>0</v>
      </c>
      <c r="E138" s="680">
        <f t="shared" si="81"/>
        <v>0</v>
      </c>
      <c r="F138" s="680">
        <f t="shared" si="81"/>
        <v>15598</v>
      </c>
      <c r="G138" s="680">
        <f t="shared" si="81"/>
        <v>0</v>
      </c>
      <c r="H138" s="680">
        <f t="shared" si="81"/>
        <v>0</v>
      </c>
      <c r="I138" s="680">
        <f t="shared" si="81"/>
        <v>0</v>
      </c>
      <c r="J138" s="680">
        <f t="shared" si="81"/>
        <v>28361</v>
      </c>
      <c r="K138" s="680">
        <f t="shared" si="81"/>
        <v>0</v>
      </c>
      <c r="L138" s="680">
        <f t="shared" si="81"/>
        <v>28361</v>
      </c>
      <c r="M138" s="680">
        <f t="shared" si="81"/>
        <v>292640</v>
      </c>
      <c r="N138" s="680">
        <f t="shared" si="81"/>
        <v>1216</v>
      </c>
      <c r="O138" s="680">
        <f t="shared" si="81"/>
        <v>322217</v>
      </c>
    </row>
    <row r="139" spans="1:16" ht="17.25" thickTop="1" thickBot="1" x14ac:dyDescent="0.3">
      <c r="A139" s="667"/>
      <c r="B139" s="680" t="s">
        <v>377</v>
      </c>
      <c r="C139" s="680">
        <f>+C130</f>
        <v>0</v>
      </c>
      <c r="D139" s="680">
        <f t="shared" ref="D139:O139" si="82">+D130</f>
        <v>0</v>
      </c>
      <c r="E139" s="680">
        <f t="shared" si="82"/>
        <v>0</v>
      </c>
      <c r="F139" s="680">
        <f t="shared" si="82"/>
        <v>0</v>
      </c>
      <c r="G139" s="680">
        <f t="shared" si="82"/>
        <v>0</v>
      </c>
      <c r="H139" s="680">
        <f t="shared" si="82"/>
        <v>0</v>
      </c>
      <c r="I139" s="680">
        <f t="shared" si="82"/>
        <v>0</v>
      </c>
      <c r="J139" s="680">
        <f t="shared" si="82"/>
        <v>0</v>
      </c>
      <c r="K139" s="680">
        <f t="shared" si="82"/>
        <v>0</v>
      </c>
      <c r="L139" s="680">
        <f t="shared" si="82"/>
        <v>0</v>
      </c>
      <c r="M139" s="680">
        <f t="shared" si="82"/>
        <v>5523</v>
      </c>
      <c r="N139" s="680">
        <f t="shared" si="82"/>
        <v>0</v>
      </c>
      <c r="O139" s="680">
        <f t="shared" si="82"/>
        <v>5523</v>
      </c>
    </row>
    <row r="140" spans="1:16" ht="16.5" thickTop="1" x14ac:dyDescent="0.25">
      <c r="A140" s="682" t="s">
        <v>2</v>
      </c>
      <c r="B140" s="672" t="s">
        <v>402</v>
      </c>
      <c r="C140" s="672"/>
      <c r="D140" s="672"/>
      <c r="E140" s="672"/>
      <c r="F140" s="672"/>
      <c r="G140" s="672"/>
      <c r="H140" s="672"/>
      <c r="I140" s="672"/>
      <c r="J140" s="672"/>
      <c r="K140" s="672"/>
      <c r="L140" s="672"/>
      <c r="M140" s="672"/>
      <c r="N140" s="672"/>
      <c r="O140" s="672"/>
    </row>
    <row r="141" spans="1:16" x14ac:dyDescent="0.25">
      <c r="A141" s="682"/>
      <c r="B141" s="672" t="s">
        <v>347</v>
      </c>
      <c r="C141" s="672">
        <f t="shared" ref="C141:E141" si="83">SUM(C142:C143)</f>
        <v>13707</v>
      </c>
      <c r="D141" s="672">
        <f t="shared" si="83"/>
        <v>0</v>
      </c>
      <c r="E141" s="672">
        <f t="shared" si="83"/>
        <v>0</v>
      </c>
      <c r="F141" s="672">
        <f>SUM(F142:F143)</f>
        <v>7750</v>
      </c>
      <c r="G141" s="672"/>
      <c r="H141" s="672"/>
      <c r="I141" s="672"/>
      <c r="J141" s="673">
        <f>SUM(C141+E141+F141+H141)</f>
        <v>21457</v>
      </c>
      <c r="K141" s="673">
        <f>SUM(D141+G141+I141)</f>
        <v>0</v>
      </c>
      <c r="L141" s="673">
        <f>SUM(J141:K141)</f>
        <v>21457</v>
      </c>
      <c r="M141" s="673">
        <f>SUM(M142:M143)</f>
        <v>177738</v>
      </c>
      <c r="N141" s="673">
        <f>SUM(N142:N143)</f>
        <v>4047</v>
      </c>
      <c r="O141" s="673">
        <f>SUM(L141:N141)</f>
        <v>203242</v>
      </c>
    </row>
    <row r="142" spans="1:16" s="677" customFormat="1" x14ac:dyDescent="0.25">
      <c r="A142" s="683"/>
      <c r="B142" s="675" t="s">
        <v>381</v>
      </c>
      <c r="C142" s="675">
        <v>13707</v>
      </c>
      <c r="D142" s="675"/>
      <c r="E142" s="675"/>
      <c r="F142" s="675">
        <v>7750</v>
      </c>
      <c r="G142" s="675"/>
      <c r="H142" s="675"/>
      <c r="I142" s="675"/>
      <c r="J142" s="676">
        <f>SUM(C142+E142+F142+H142)</f>
        <v>21457</v>
      </c>
      <c r="K142" s="676">
        <f>SUM(D142+G142+I142)</f>
        <v>0</v>
      </c>
      <c r="L142" s="676">
        <f>SUM(J142:K142)</f>
        <v>21457</v>
      </c>
      <c r="M142" s="676">
        <v>174048</v>
      </c>
      <c r="N142" s="676">
        <v>4047</v>
      </c>
      <c r="O142" s="676">
        <f>SUM(L142:N142)</f>
        <v>199552</v>
      </c>
    </row>
    <row r="143" spans="1:16" s="677" customFormat="1" x14ac:dyDescent="0.25">
      <c r="A143" s="683"/>
      <c r="B143" s="675" t="s">
        <v>380</v>
      </c>
      <c r="C143" s="675"/>
      <c r="D143" s="675"/>
      <c r="E143" s="675"/>
      <c r="F143" s="675"/>
      <c r="G143" s="675"/>
      <c r="H143" s="675"/>
      <c r="I143" s="675"/>
      <c r="J143" s="676">
        <f>SUM(C143+E143+F143+H143)</f>
        <v>0</v>
      </c>
      <c r="K143" s="676">
        <f>SUM(D143+G143+I143)</f>
        <v>0</v>
      </c>
      <c r="L143" s="676">
        <f>SUM(J143:K143)</f>
        <v>0</v>
      </c>
      <c r="M143" s="676">
        <v>3690</v>
      </c>
      <c r="N143" s="676"/>
      <c r="O143" s="676">
        <f>SUM(L143:N143)</f>
        <v>3690</v>
      </c>
    </row>
    <row r="144" spans="1:16" x14ac:dyDescent="0.25">
      <c r="A144" s="682"/>
      <c r="B144" s="684" t="s">
        <v>131</v>
      </c>
      <c r="C144" s="684"/>
      <c r="D144" s="684"/>
      <c r="E144" s="684"/>
      <c r="F144" s="684"/>
      <c r="G144" s="684"/>
      <c r="H144" s="684"/>
      <c r="I144" s="684"/>
      <c r="J144" s="672"/>
      <c r="K144" s="672"/>
      <c r="L144" s="672"/>
      <c r="M144" s="672"/>
      <c r="N144" s="672"/>
      <c r="O144" s="672"/>
    </row>
    <row r="145" spans="1:16" ht="31.5" x14ac:dyDescent="0.25">
      <c r="A145" s="682"/>
      <c r="B145" s="678" t="s">
        <v>1235</v>
      </c>
      <c r="C145" s="684"/>
      <c r="D145" s="684"/>
      <c r="E145" s="684"/>
      <c r="F145" s="684"/>
      <c r="G145" s="684"/>
      <c r="H145" s="684"/>
      <c r="I145" s="684"/>
      <c r="J145" s="672">
        <f>SUM(C145+E145+F145+H145)</f>
        <v>0</v>
      </c>
      <c r="K145" s="672">
        <f>SUM(D145+G145+I145)</f>
        <v>0</v>
      </c>
      <c r="L145" s="672">
        <f>SUM(J145:K145)</f>
        <v>0</v>
      </c>
      <c r="M145" s="672">
        <v>210</v>
      </c>
      <c r="N145" s="672">
        <v>-210</v>
      </c>
      <c r="O145" s="672">
        <f>SUM(L145:N145)</f>
        <v>0</v>
      </c>
    </row>
    <row r="146" spans="1:16" ht="31.5" x14ac:dyDescent="0.25">
      <c r="A146" s="682"/>
      <c r="B146" s="679" t="s">
        <v>915</v>
      </c>
      <c r="C146" s="686">
        <v>245</v>
      </c>
      <c r="D146" s="684"/>
      <c r="E146" s="684"/>
      <c r="F146" s="686">
        <v>2115</v>
      </c>
      <c r="G146" s="684"/>
      <c r="H146" s="684"/>
      <c r="I146" s="684"/>
      <c r="J146" s="672">
        <f t="shared" ref="J146" si="84">SUM(C146+E146+F146+H146)</f>
        <v>2360</v>
      </c>
      <c r="K146" s="672">
        <f t="shared" ref="K146" si="85">SUM(D146+G146+I146)</f>
        <v>0</v>
      </c>
      <c r="L146" s="672">
        <f t="shared" ref="L146" si="86">SUM(J146:K146)</f>
        <v>2360</v>
      </c>
      <c r="M146" s="672"/>
      <c r="N146" s="672"/>
      <c r="O146" s="672">
        <f t="shared" ref="O146" si="87">SUM(L146:N146)</f>
        <v>2360</v>
      </c>
    </row>
    <row r="147" spans="1:16" ht="16.5" thickBot="1" x14ac:dyDescent="0.3">
      <c r="A147" s="682"/>
      <c r="B147" s="684" t="s">
        <v>132</v>
      </c>
      <c r="C147" s="684"/>
      <c r="D147" s="684"/>
      <c r="E147" s="684"/>
      <c r="F147" s="684"/>
      <c r="G147" s="684"/>
      <c r="H147" s="684"/>
      <c r="I147" s="684"/>
      <c r="J147" s="672"/>
      <c r="K147" s="672"/>
      <c r="L147" s="672"/>
      <c r="M147" s="672"/>
      <c r="N147" s="672"/>
      <c r="O147" s="672"/>
    </row>
    <row r="148" spans="1:16" ht="17.25" thickTop="1" thickBot="1" x14ac:dyDescent="0.3">
      <c r="A148" s="667"/>
      <c r="B148" s="680" t="s">
        <v>379</v>
      </c>
      <c r="C148" s="680">
        <f>+C141+C145+C146</f>
        <v>13952</v>
      </c>
      <c r="D148" s="680">
        <f t="shared" ref="D148:O148" si="88">+D141+D145+D146</f>
        <v>0</v>
      </c>
      <c r="E148" s="680">
        <f t="shared" si="88"/>
        <v>0</v>
      </c>
      <c r="F148" s="680">
        <f t="shared" si="88"/>
        <v>9865</v>
      </c>
      <c r="G148" s="680">
        <f t="shared" si="88"/>
        <v>0</v>
      </c>
      <c r="H148" s="680">
        <f t="shared" si="88"/>
        <v>0</v>
      </c>
      <c r="I148" s="680">
        <f t="shared" si="88"/>
        <v>0</v>
      </c>
      <c r="J148" s="680">
        <f t="shared" si="88"/>
        <v>23817</v>
      </c>
      <c r="K148" s="680">
        <f t="shared" si="88"/>
        <v>0</v>
      </c>
      <c r="L148" s="680">
        <f t="shared" si="88"/>
        <v>23817</v>
      </c>
      <c r="M148" s="680">
        <f t="shared" si="88"/>
        <v>177948</v>
      </c>
      <c r="N148" s="680">
        <f t="shared" si="88"/>
        <v>3837</v>
      </c>
      <c r="O148" s="680">
        <f t="shared" si="88"/>
        <v>205602</v>
      </c>
      <c r="P148" s="659">
        <f>O149+O150</f>
        <v>205602</v>
      </c>
    </row>
    <row r="149" spans="1:16" ht="17.25" thickTop="1" thickBot="1" x14ac:dyDescent="0.3">
      <c r="A149" s="667"/>
      <c r="B149" s="680" t="s">
        <v>378</v>
      </c>
      <c r="C149" s="680">
        <f>+C142+C145+C146</f>
        <v>13952</v>
      </c>
      <c r="D149" s="680">
        <f t="shared" ref="D149:O149" si="89">+D142+D145+D146</f>
        <v>0</v>
      </c>
      <c r="E149" s="680">
        <f t="shared" si="89"/>
        <v>0</v>
      </c>
      <c r="F149" s="680">
        <f t="shared" si="89"/>
        <v>9865</v>
      </c>
      <c r="G149" s="680">
        <f t="shared" si="89"/>
        <v>0</v>
      </c>
      <c r="H149" s="680">
        <f t="shared" si="89"/>
        <v>0</v>
      </c>
      <c r="I149" s="680">
        <f t="shared" si="89"/>
        <v>0</v>
      </c>
      <c r="J149" s="680">
        <f t="shared" si="89"/>
        <v>23817</v>
      </c>
      <c r="K149" s="680">
        <f t="shared" si="89"/>
        <v>0</v>
      </c>
      <c r="L149" s="680">
        <f t="shared" si="89"/>
        <v>23817</v>
      </c>
      <c r="M149" s="680">
        <f t="shared" si="89"/>
        <v>174258</v>
      </c>
      <c r="N149" s="680">
        <f t="shared" si="89"/>
        <v>3837</v>
      </c>
      <c r="O149" s="680">
        <f t="shared" si="89"/>
        <v>201912</v>
      </c>
    </row>
    <row r="150" spans="1:16" ht="17.25" thickTop="1" thickBot="1" x14ac:dyDescent="0.3">
      <c r="A150" s="667"/>
      <c r="B150" s="680" t="s">
        <v>377</v>
      </c>
      <c r="C150" s="680">
        <f>+C143</f>
        <v>0</v>
      </c>
      <c r="D150" s="680">
        <f t="shared" ref="D150:O150" si="90">+D143</f>
        <v>0</v>
      </c>
      <c r="E150" s="680">
        <f t="shared" si="90"/>
        <v>0</v>
      </c>
      <c r="F150" s="680">
        <f t="shared" si="90"/>
        <v>0</v>
      </c>
      <c r="G150" s="680">
        <f t="shared" si="90"/>
        <v>0</v>
      </c>
      <c r="H150" s="680">
        <f t="shared" si="90"/>
        <v>0</v>
      </c>
      <c r="I150" s="680">
        <f t="shared" si="90"/>
        <v>0</v>
      </c>
      <c r="J150" s="680">
        <f t="shared" si="90"/>
        <v>0</v>
      </c>
      <c r="K150" s="680">
        <f t="shared" si="90"/>
        <v>0</v>
      </c>
      <c r="L150" s="680">
        <f t="shared" si="90"/>
        <v>0</v>
      </c>
      <c r="M150" s="680">
        <f t="shared" si="90"/>
        <v>3690</v>
      </c>
      <c r="N150" s="680">
        <f t="shared" si="90"/>
        <v>0</v>
      </c>
      <c r="O150" s="680">
        <f t="shared" si="90"/>
        <v>3690</v>
      </c>
    </row>
    <row r="151" spans="1:16" ht="16.5" thickTop="1" x14ac:dyDescent="0.25">
      <c r="A151" s="671" t="s">
        <v>3</v>
      </c>
      <c r="B151" s="672" t="s">
        <v>401</v>
      </c>
      <c r="C151" s="672"/>
      <c r="D151" s="672"/>
      <c r="E151" s="672"/>
      <c r="F151" s="672"/>
      <c r="G151" s="672"/>
      <c r="H151" s="672"/>
      <c r="I151" s="672"/>
      <c r="J151" s="672"/>
      <c r="K151" s="672"/>
      <c r="L151" s="672"/>
      <c r="M151" s="672"/>
      <c r="N151" s="672"/>
      <c r="O151" s="672"/>
    </row>
    <row r="152" spans="1:16" x14ac:dyDescent="0.25">
      <c r="A152" s="671"/>
      <c r="B152" s="673" t="s">
        <v>347</v>
      </c>
      <c r="C152" s="673">
        <f t="shared" ref="C152:E152" si="91">SUM(C153:C154)</f>
        <v>11793</v>
      </c>
      <c r="D152" s="673">
        <f t="shared" si="91"/>
        <v>0</v>
      </c>
      <c r="E152" s="673">
        <f t="shared" si="91"/>
        <v>0</v>
      </c>
      <c r="F152" s="673">
        <f>SUM(F153:F154)</f>
        <v>5795</v>
      </c>
      <c r="G152" s="673"/>
      <c r="H152" s="673"/>
      <c r="I152" s="673"/>
      <c r="J152" s="673">
        <f>SUM(C152+E152+F152+H152)</f>
        <v>17588</v>
      </c>
      <c r="K152" s="673">
        <f>SUM(D152+G152+I152)</f>
        <v>0</v>
      </c>
      <c r="L152" s="673">
        <f>SUM(J152:K152)</f>
        <v>17588</v>
      </c>
      <c r="M152" s="673">
        <f>SUM(M153:M154)</f>
        <v>231936</v>
      </c>
      <c r="N152" s="673">
        <f>SUM(N153:N154)</f>
        <v>3138</v>
      </c>
      <c r="O152" s="673">
        <f>SUM(L152:N152)</f>
        <v>252662</v>
      </c>
    </row>
    <row r="153" spans="1:16" s="677" customFormat="1" x14ac:dyDescent="0.25">
      <c r="A153" s="674"/>
      <c r="B153" s="675" t="s">
        <v>381</v>
      </c>
      <c r="C153" s="675">
        <v>11793</v>
      </c>
      <c r="D153" s="675"/>
      <c r="E153" s="675"/>
      <c r="F153" s="675">
        <v>5795</v>
      </c>
      <c r="G153" s="675"/>
      <c r="H153" s="675"/>
      <c r="I153" s="675"/>
      <c r="J153" s="676">
        <f>SUM(C153+E153+F153+H153)</f>
        <v>17588</v>
      </c>
      <c r="K153" s="676">
        <f>SUM(D153+G153+I153)</f>
        <v>0</v>
      </c>
      <c r="L153" s="676">
        <f>SUM(J153:K153)</f>
        <v>17588</v>
      </c>
      <c r="M153" s="676">
        <v>227195</v>
      </c>
      <c r="N153" s="676">
        <v>3138</v>
      </c>
      <c r="O153" s="676">
        <f>SUM(L153:N153)</f>
        <v>247921</v>
      </c>
    </row>
    <row r="154" spans="1:16" s="677" customFormat="1" x14ac:dyDescent="0.25">
      <c r="A154" s="674"/>
      <c r="B154" s="675" t="s">
        <v>380</v>
      </c>
      <c r="C154" s="675"/>
      <c r="D154" s="675"/>
      <c r="E154" s="675"/>
      <c r="F154" s="675"/>
      <c r="G154" s="675"/>
      <c r="H154" s="675"/>
      <c r="I154" s="675"/>
      <c r="J154" s="676">
        <f>SUM(C154+E154+F154+H154)</f>
        <v>0</v>
      </c>
      <c r="K154" s="676">
        <f>SUM(D154+G154+I154)</f>
        <v>0</v>
      </c>
      <c r="L154" s="676">
        <f>SUM(J154:K154)</f>
        <v>0</v>
      </c>
      <c r="M154" s="676">
        <v>4741</v>
      </c>
      <c r="N154" s="676"/>
      <c r="O154" s="676">
        <f>SUM(L154:N154)</f>
        <v>4741</v>
      </c>
    </row>
    <row r="155" spans="1:16" s="677" customFormat="1" x14ac:dyDescent="0.25">
      <c r="A155" s="674"/>
      <c r="B155" s="675" t="s">
        <v>131</v>
      </c>
      <c r="C155" s="678"/>
      <c r="D155" s="678"/>
      <c r="E155" s="678"/>
      <c r="F155" s="678"/>
      <c r="G155" s="678"/>
      <c r="H155" s="678"/>
      <c r="I155" s="678"/>
      <c r="J155" s="678"/>
      <c r="K155" s="678"/>
      <c r="L155" s="678"/>
      <c r="M155" s="678"/>
      <c r="N155" s="678"/>
      <c r="O155" s="678"/>
    </row>
    <row r="156" spans="1:16" s="677" customFormat="1" ht="31.5" x14ac:dyDescent="0.25">
      <c r="A156" s="674"/>
      <c r="B156" s="678" t="s">
        <v>1235</v>
      </c>
      <c r="C156" s="678"/>
      <c r="D156" s="678"/>
      <c r="E156" s="678"/>
      <c r="F156" s="678"/>
      <c r="G156" s="678"/>
      <c r="H156" s="678"/>
      <c r="I156" s="678"/>
      <c r="J156" s="678">
        <f t="shared" ref="J156:J160" si="92">SUM(C156+E156+F156+H156)</f>
        <v>0</v>
      </c>
      <c r="K156" s="678">
        <f t="shared" ref="K156:K160" si="93">SUM(D156+G156+I156)</f>
        <v>0</v>
      </c>
      <c r="L156" s="678">
        <f t="shared" ref="L156:L160" si="94">SUM(J156:K156)</f>
        <v>0</v>
      </c>
      <c r="M156" s="678">
        <v>1379</v>
      </c>
      <c r="N156" s="678">
        <v>-1379</v>
      </c>
      <c r="O156" s="678">
        <f t="shared" ref="O156:O160" si="95">SUM(L156:N156)</f>
        <v>0</v>
      </c>
    </row>
    <row r="157" spans="1:16" s="677" customFormat="1" ht="47.25" x14ac:dyDescent="0.25">
      <c r="A157" s="674"/>
      <c r="B157" s="679" t="s">
        <v>1215</v>
      </c>
      <c r="C157" s="678"/>
      <c r="D157" s="678"/>
      <c r="E157" s="678"/>
      <c r="F157" s="678"/>
      <c r="G157" s="678"/>
      <c r="H157" s="678"/>
      <c r="I157" s="678"/>
      <c r="J157" s="678">
        <f t="shared" si="92"/>
        <v>0</v>
      </c>
      <c r="K157" s="678">
        <f t="shared" si="93"/>
        <v>0</v>
      </c>
      <c r="L157" s="678">
        <f t="shared" si="94"/>
        <v>0</v>
      </c>
      <c r="M157" s="678">
        <v>360</v>
      </c>
      <c r="N157" s="678"/>
      <c r="O157" s="678">
        <f t="shared" si="95"/>
        <v>360</v>
      </c>
    </row>
    <row r="158" spans="1:16" s="677" customFormat="1" ht="31.5" x14ac:dyDescent="0.25">
      <c r="A158" s="674"/>
      <c r="B158" s="679" t="s">
        <v>915</v>
      </c>
      <c r="C158" s="678"/>
      <c r="D158" s="678"/>
      <c r="E158" s="678"/>
      <c r="F158" s="678">
        <v>1109</v>
      </c>
      <c r="G158" s="678"/>
      <c r="H158" s="678"/>
      <c r="I158" s="678"/>
      <c r="J158" s="678">
        <f>SUM(C158+E158+F158+H158)</f>
        <v>1109</v>
      </c>
      <c r="K158" s="678">
        <f t="shared" si="93"/>
        <v>0</v>
      </c>
      <c r="L158" s="678">
        <f>SUM(J158:K158)</f>
        <v>1109</v>
      </c>
      <c r="M158" s="678"/>
      <c r="N158" s="678"/>
      <c r="O158" s="678">
        <f t="shared" si="95"/>
        <v>1109</v>
      </c>
    </row>
    <row r="159" spans="1:16" s="677" customFormat="1" x14ac:dyDescent="0.25">
      <c r="A159" s="674"/>
      <c r="B159" s="675" t="s">
        <v>132</v>
      </c>
      <c r="C159" s="678"/>
      <c r="D159" s="678"/>
      <c r="E159" s="678"/>
      <c r="F159" s="678"/>
      <c r="G159" s="678"/>
      <c r="H159" s="678"/>
      <c r="I159" s="678"/>
      <c r="J159" s="678"/>
      <c r="K159" s="678"/>
      <c r="L159" s="678"/>
      <c r="M159" s="678"/>
      <c r="N159" s="678"/>
      <c r="O159" s="678"/>
    </row>
    <row r="160" spans="1:16" s="677" customFormat="1" ht="32.25" thickBot="1" x14ac:dyDescent="0.3">
      <c r="A160" s="674"/>
      <c r="B160" s="678" t="s">
        <v>1237</v>
      </c>
      <c r="C160" s="678"/>
      <c r="D160" s="678"/>
      <c r="E160" s="678"/>
      <c r="F160" s="678"/>
      <c r="G160" s="678"/>
      <c r="H160" s="678"/>
      <c r="I160" s="678"/>
      <c r="J160" s="678">
        <f t="shared" si="92"/>
        <v>0</v>
      </c>
      <c r="K160" s="678">
        <f t="shared" si="93"/>
        <v>0</v>
      </c>
      <c r="L160" s="678">
        <f t="shared" si="94"/>
        <v>0</v>
      </c>
      <c r="M160" s="678">
        <v>-60</v>
      </c>
      <c r="N160" s="678"/>
      <c r="O160" s="678">
        <f t="shared" si="95"/>
        <v>-60</v>
      </c>
    </row>
    <row r="161" spans="1:16" ht="17.25" thickTop="1" thickBot="1" x14ac:dyDescent="0.3">
      <c r="A161" s="667"/>
      <c r="B161" s="680" t="s">
        <v>379</v>
      </c>
      <c r="C161" s="680">
        <f>+C152+C156+C160+C157+C158</f>
        <v>11793</v>
      </c>
      <c r="D161" s="680">
        <f t="shared" ref="D161:O161" si="96">+D152+D156+D160+D157+D158</f>
        <v>0</v>
      </c>
      <c r="E161" s="680">
        <f t="shared" si="96"/>
        <v>0</v>
      </c>
      <c r="F161" s="680">
        <f t="shared" si="96"/>
        <v>6904</v>
      </c>
      <c r="G161" s="680">
        <f t="shared" si="96"/>
        <v>0</v>
      </c>
      <c r="H161" s="680">
        <f t="shared" si="96"/>
        <v>0</v>
      </c>
      <c r="I161" s="680">
        <f t="shared" si="96"/>
        <v>0</v>
      </c>
      <c r="J161" s="680">
        <f t="shared" si="96"/>
        <v>18697</v>
      </c>
      <c r="K161" s="680">
        <f t="shared" si="96"/>
        <v>0</v>
      </c>
      <c r="L161" s="680">
        <f t="shared" si="96"/>
        <v>18697</v>
      </c>
      <c r="M161" s="680">
        <f t="shared" si="96"/>
        <v>233615</v>
      </c>
      <c r="N161" s="680">
        <f t="shared" si="96"/>
        <v>1759</v>
      </c>
      <c r="O161" s="680">
        <f t="shared" si="96"/>
        <v>254071</v>
      </c>
      <c r="P161" s="659">
        <f>O162+O163</f>
        <v>254071</v>
      </c>
    </row>
    <row r="162" spans="1:16" ht="17.25" thickTop="1" thickBot="1" x14ac:dyDescent="0.3">
      <c r="A162" s="667"/>
      <c r="B162" s="680" t="s">
        <v>378</v>
      </c>
      <c r="C162" s="680">
        <f>+C153+C156+C157+C158</f>
        <v>11793</v>
      </c>
      <c r="D162" s="680">
        <f t="shared" ref="D162:O162" si="97">+D153+D156+D157+D158</f>
        <v>0</v>
      </c>
      <c r="E162" s="680">
        <f t="shared" si="97"/>
        <v>0</v>
      </c>
      <c r="F162" s="680">
        <f t="shared" si="97"/>
        <v>6904</v>
      </c>
      <c r="G162" s="680">
        <f t="shared" si="97"/>
        <v>0</v>
      </c>
      <c r="H162" s="680">
        <f t="shared" si="97"/>
        <v>0</v>
      </c>
      <c r="I162" s="680">
        <f t="shared" si="97"/>
        <v>0</v>
      </c>
      <c r="J162" s="680">
        <f t="shared" si="97"/>
        <v>18697</v>
      </c>
      <c r="K162" s="680">
        <f t="shared" si="97"/>
        <v>0</v>
      </c>
      <c r="L162" s="680">
        <f t="shared" si="97"/>
        <v>18697</v>
      </c>
      <c r="M162" s="680">
        <f t="shared" si="97"/>
        <v>228934</v>
      </c>
      <c r="N162" s="680">
        <f t="shared" si="97"/>
        <v>1759</v>
      </c>
      <c r="O162" s="680">
        <f t="shared" si="97"/>
        <v>249390</v>
      </c>
    </row>
    <row r="163" spans="1:16" ht="17.25" thickTop="1" thickBot="1" x14ac:dyDescent="0.3">
      <c r="A163" s="667"/>
      <c r="B163" s="680" t="s">
        <v>377</v>
      </c>
      <c r="C163" s="680">
        <f>+C154+C160</f>
        <v>0</v>
      </c>
      <c r="D163" s="680">
        <f t="shared" ref="D163:O163" si="98">+D154+D160</f>
        <v>0</v>
      </c>
      <c r="E163" s="680">
        <f t="shared" si="98"/>
        <v>0</v>
      </c>
      <c r="F163" s="680">
        <f t="shared" si="98"/>
        <v>0</v>
      </c>
      <c r="G163" s="680">
        <f t="shared" si="98"/>
        <v>0</v>
      </c>
      <c r="H163" s="680">
        <f t="shared" si="98"/>
        <v>0</v>
      </c>
      <c r="I163" s="680">
        <f t="shared" si="98"/>
        <v>0</v>
      </c>
      <c r="J163" s="680">
        <f t="shared" si="98"/>
        <v>0</v>
      </c>
      <c r="K163" s="680">
        <f t="shared" si="98"/>
        <v>0</v>
      </c>
      <c r="L163" s="680">
        <f t="shared" si="98"/>
        <v>0</v>
      </c>
      <c r="M163" s="680">
        <f t="shared" si="98"/>
        <v>4681</v>
      </c>
      <c r="N163" s="680">
        <f t="shared" si="98"/>
        <v>0</v>
      </c>
      <c r="O163" s="680">
        <f t="shared" si="98"/>
        <v>4681</v>
      </c>
    </row>
    <row r="164" spans="1:16" ht="16.5" thickTop="1" x14ac:dyDescent="0.25">
      <c r="A164" s="697" t="s">
        <v>4</v>
      </c>
      <c r="B164" s="695" t="s">
        <v>400</v>
      </c>
      <c r="C164" s="695"/>
      <c r="D164" s="695"/>
      <c r="E164" s="695"/>
      <c r="F164" s="695"/>
      <c r="G164" s="695"/>
      <c r="H164" s="695"/>
      <c r="I164" s="695"/>
      <c r="J164" s="695"/>
      <c r="K164" s="695"/>
      <c r="L164" s="695"/>
      <c r="M164" s="695"/>
      <c r="N164" s="695"/>
      <c r="O164" s="695"/>
    </row>
    <row r="165" spans="1:16" x14ac:dyDescent="0.25">
      <c r="A165" s="682"/>
      <c r="B165" s="672" t="s">
        <v>913</v>
      </c>
      <c r="C165" s="672">
        <f t="shared" ref="C165:E165" si="99">SUM(C166:C167)</f>
        <v>11989</v>
      </c>
      <c r="D165" s="672">
        <f t="shared" si="99"/>
        <v>0</v>
      </c>
      <c r="E165" s="672">
        <f t="shared" si="99"/>
        <v>0</v>
      </c>
      <c r="F165" s="672">
        <f>SUM(F166:F167)</f>
        <v>7504</v>
      </c>
      <c r="G165" s="672"/>
      <c r="H165" s="672"/>
      <c r="I165" s="672"/>
      <c r="J165" s="673">
        <f>SUM(C165+E165+F165+H165)</f>
        <v>19493</v>
      </c>
      <c r="K165" s="673">
        <f>SUM(D165+G165+I165)</f>
        <v>0</v>
      </c>
      <c r="L165" s="673">
        <f>SUM(J165:K165)</f>
        <v>19493</v>
      </c>
      <c r="M165" s="673">
        <f>SUM(M166:M167)</f>
        <v>196523</v>
      </c>
      <c r="N165" s="673">
        <f>SUM(N166:N167)</f>
        <v>471</v>
      </c>
      <c r="O165" s="673">
        <f>SUM(L165:N165)</f>
        <v>216487</v>
      </c>
    </row>
    <row r="166" spans="1:16" s="677" customFormat="1" x14ac:dyDescent="0.25">
      <c r="A166" s="683"/>
      <c r="B166" s="675" t="s">
        <v>381</v>
      </c>
      <c r="C166" s="675">
        <v>11989</v>
      </c>
      <c r="D166" s="675"/>
      <c r="E166" s="675"/>
      <c r="F166" s="675">
        <v>7504</v>
      </c>
      <c r="G166" s="675"/>
      <c r="H166" s="675"/>
      <c r="I166" s="675"/>
      <c r="J166" s="676">
        <f>SUM(C166+E166+F166+H166)</f>
        <v>19493</v>
      </c>
      <c r="K166" s="676">
        <f>SUM(D166+G166+I166)</f>
        <v>0</v>
      </c>
      <c r="L166" s="676">
        <f>SUM(J166:K166)</f>
        <v>19493</v>
      </c>
      <c r="M166" s="676">
        <v>192541</v>
      </c>
      <c r="N166" s="676">
        <v>471</v>
      </c>
      <c r="O166" s="676">
        <f>SUM(L166:N166)</f>
        <v>212505</v>
      </c>
    </row>
    <row r="167" spans="1:16" s="677" customFormat="1" x14ac:dyDescent="0.25">
      <c r="A167" s="683"/>
      <c r="B167" s="675" t="s">
        <v>380</v>
      </c>
      <c r="C167" s="675"/>
      <c r="D167" s="675"/>
      <c r="E167" s="675"/>
      <c r="F167" s="675"/>
      <c r="G167" s="675"/>
      <c r="H167" s="675"/>
      <c r="I167" s="675"/>
      <c r="J167" s="676">
        <f>SUM(C167+E167+F167+H167)</f>
        <v>0</v>
      </c>
      <c r="K167" s="676">
        <f>SUM(D167+G167+I167)</f>
        <v>0</v>
      </c>
      <c r="L167" s="676">
        <f>SUM(J167:K167)</f>
        <v>0</v>
      </c>
      <c r="M167" s="676">
        <v>3982</v>
      </c>
      <c r="N167" s="676"/>
      <c r="O167" s="676">
        <f>SUM(L167:N167)</f>
        <v>3982</v>
      </c>
    </row>
    <row r="168" spans="1:16" s="677" customFormat="1" x14ac:dyDescent="0.25">
      <c r="A168" s="683"/>
      <c r="B168" s="675" t="s">
        <v>131</v>
      </c>
      <c r="C168" s="678"/>
      <c r="D168" s="678"/>
      <c r="E168" s="678"/>
      <c r="F168" s="678"/>
      <c r="G168" s="678"/>
      <c r="H168" s="678"/>
      <c r="I168" s="678"/>
      <c r="J168" s="678"/>
      <c r="K168" s="678"/>
      <c r="L168" s="678"/>
      <c r="M168" s="678"/>
      <c r="N168" s="678"/>
      <c r="O168" s="678"/>
    </row>
    <row r="169" spans="1:16" s="677" customFormat="1" ht="31.5" x14ac:dyDescent="0.25">
      <c r="A169" s="683"/>
      <c r="B169" s="678" t="s">
        <v>1235</v>
      </c>
      <c r="C169" s="688"/>
      <c r="D169" s="688"/>
      <c r="E169" s="688"/>
      <c r="F169" s="688"/>
      <c r="G169" s="688"/>
      <c r="H169" s="688"/>
      <c r="I169" s="688"/>
      <c r="J169" s="688">
        <f t="shared" ref="J169:J170" si="100">SUM(C169+E169+F169+H169)</f>
        <v>0</v>
      </c>
      <c r="K169" s="688">
        <f t="shared" ref="K169:K170" si="101">SUM(D169+G169+I169)</f>
        <v>0</v>
      </c>
      <c r="L169" s="688">
        <f t="shared" ref="L169:L170" si="102">SUM(J169:K169)</f>
        <v>0</v>
      </c>
      <c r="M169" s="688">
        <v>-146</v>
      </c>
      <c r="N169" s="688">
        <v>146</v>
      </c>
      <c r="O169" s="688">
        <f t="shared" ref="O169:O170" si="103">SUM(L169:N169)</f>
        <v>0</v>
      </c>
    </row>
    <row r="170" spans="1:16" s="677" customFormat="1" ht="31.5" x14ac:dyDescent="0.25">
      <c r="A170" s="683"/>
      <c r="B170" s="679" t="s">
        <v>915</v>
      </c>
      <c r="C170" s="688"/>
      <c r="D170" s="688"/>
      <c r="E170" s="688"/>
      <c r="F170" s="688">
        <v>195</v>
      </c>
      <c r="G170" s="688"/>
      <c r="H170" s="688"/>
      <c r="I170" s="688"/>
      <c r="J170" s="688">
        <f t="shared" si="100"/>
        <v>195</v>
      </c>
      <c r="K170" s="688">
        <f t="shared" si="101"/>
        <v>0</v>
      </c>
      <c r="L170" s="688">
        <f t="shared" si="102"/>
        <v>195</v>
      </c>
      <c r="M170" s="688"/>
      <c r="N170" s="688"/>
      <c r="O170" s="688">
        <f t="shared" si="103"/>
        <v>195</v>
      </c>
    </row>
    <row r="171" spans="1:16" s="677" customFormat="1" ht="16.5" thickBot="1" x14ac:dyDescent="0.3">
      <c r="A171" s="683"/>
      <c r="B171" s="675" t="s">
        <v>132</v>
      </c>
      <c r="C171" s="678"/>
      <c r="D171" s="678"/>
      <c r="E171" s="678"/>
      <c r="F171" s="678"/>
      <c r="G171" s="678"/>
      <c r="H171" s="678"/>
      <c r="I171" s="678"/>
      <c r="J171" s="678"/>
      <c r="K171" s="678"/>
      <c r="L171" s="678"/>
      <c r="M171" s="678"/>
      <c r="N171" s="678"/>
      <c r="O171" s="678"/>
    </row>
    <row r="172" spans="1:16" ht="17.25" thickTop="1" thickBot="1" x14ac:dyDescent="0.3">
      <c r="A172" s="667"/>
      <c r="B172" s="680" t="s">
        <v>379</v>
      </c>
      <c r="C172" s="680">
        <f>+C165+C169+C170</f>
        <v>11989</v>
      </c>
      <c r="D172" s="680">
        <f t="shared" ref="D172:O172" si="104">+D165+D169+D170</f>
        <v>0</v>
      </c>
      <c r="E172" s="680">
        <f t="shared" si="104"/>
        <v>0</v>
      </c>
      <c r="F172" s="680">
        <f t="shared" si="104"/>
        <v>7699</v>
      </c>
      <c r="G172" s="680">
        <f t="shared" si="104"/>
        <v>0</v>
      </c>
      <c r="H172" s="680">
        <f t="shared" si="104"/>
        <v>0</v>
      </c>
      <c r="I172" s="680">
        <f t="shared" si="104"/>
        <v>0</v>
      </c>
      <c r="J172" s="680">
        <f t="shared" si="104"/>
        <v>19688</v>
      </c>
      <c r="K172" s="680">
        <f t="shared" si="104"/>
        <v>0</v>
      </c>
      <c r="L172" s="680">
        <f t="shared" si="104"/>
        <v>19688</v>
      </c>
      <c r="M172" s="680">
        <f t="shared" si="104"/>
        <v>196377</v>
      </c>
      <c r="N172" s="680">
        <f t="shared" si="104"/>
        <v>617</v>
      </c>
      <c r="O172" s="680">
        <f t="shared" si="104"/>
        <v>216682</v>
      </c>
      <c r="P172" s="659">
        <f>O173+O174</f>
        <v>216682</v>
      </c>
    </row>
    <row r="173" spans="1:16" ht="17.25" thickTop="1" thickBot="1" x14ac:dyDescent="0.3">
      <c r="A173" s="667"/>
      <c r="B173" s="680" t="s">
        <v>378</v>
      </c>
      <c r="C173" s="680">
        <f>+C166+C169+C170</f>
        <v>11989</v>
      </c>
      <c r="D173" s="680">
        <f t="shared" ref="D173:O173" si="105">+D166+D169+D170</f>
        <v>0</v>
      </c>
      <c r="E173" s="680">
        <f t="shared" si="105"/>
        <v>0</v>
      </c>
      <c r="F173" s="680">
        <f t="shared" si="105"/>
        <v>7699</v>
      </c>
      <c r="G173" s="680">
        <f t="shared" si="105"/>
        <v>0</v>
      </c>
      <c r="H173" s="680">
        <f t="shared" si="105"/>
        <v>0</v>
      </c>
      <c r="I173" s="680">
        <f t="shared" si="105"/>
        <v>0</v>
      </c>
      <c r="J173" s="680">
        <f t="shared" si="105"/>
        <v>19688</v>
      </c>
      <c r="K173" s="680">
        <f t="shared" si="105"/>
        <v>0</v>
      </c>
      <c r="L173" s="680">
        <f t="shared" si="105"/>
        <v>19688</v>
      </c>
      <c r="M173" s="680">
        <f t="shared" si="105"/>
        <v>192395</v>
      </c>
      <c r="N173" s="680">
        <f t="shared" si="105"/>
        <v>617</v>
      </c>
      <c r="O173" s="680">
        <f t="shared" si="105"/>
        <v>212700</v>
      </c>
    </row>
    <row r="174" spans="1:16" ht="17.25" thickTop="1" thickBot="1" x14ac:dyDescent="0.3">
      <c r="A174" s="667"/>
      <c r="B174" s="680" t="s">
        <v>377</v>
      </c>
      <c r="C174" s="680">
        <f>+C167</f>
        <v>0</v>
      </c>
      <c r="D174" s="680">
        <f t="shared" ref="D174:O174" si="106">+D167</f>
        <v>0</v>
      </c>
      <c r="E174" s="680">
        <f t="shared" si="106"/>
        <v>0</v>
      </c>
      <c r="F174" s="680">
        <f t="shared" si="106"/>
        <v>0</v>
      </c>
      <c r="G174" s="680">
        <f t="shared" si="106"/>
        <v>0</v>
      </c>
      <c r="H174" s="680">
        <f t="shared" si="106"/>
        <v>0</v>
      </c>
      <c r="I174" s="680">
        <f t="shared" si="106"/>
        <v>0</v>
      </c>
      <c r="J174" s="680">
        <f t="shared" si="106"/>
        <v>0</v>
      </c>
      <c r="K174" s="680">
        <f t="shared" si="106"/>
        <v>0</v>
      </c>
      <c r="L174" s="680">
        <f t="shared" si="106"/>
        <v>0</v>
      </c>
      <c r="M174" s="680">
        <f t="shared" si="106"/>
        <v>3982</v>
      </c>
      <c r="N174" s="680">
        <f t="shared" si="106"/>
        <v>0</v>
      </c>
      <c r="O174" s="680">
        <f t="shared" si="106"/>
        <v>3982</v>
      </c>
    </row>
    <row r="175" spans="1:16" ht="16.5" thickTop="1" x14ac:dyDescent="0.25">
      <c r="A175" s="671" t="s">
        <v>5</v>
      </c>
      <c r="B175" s="672" t="s">
        <v>399</v>
      </c>
      <c r="C175" s="672"/>
      <c r="D175" s="672"/>
      <c r="E175" s="672"/>
      <c r="F175" s="672"/>
      <c r="G175" s="672"/>
      <c r="H175" s="672"/>
      <c r="I175" s="672"/>
      <c r="J175" s="672"/>
      <c r="K175" s="672"/>
      <c r="L175" s="672"/>
      <c r="M175" s="672"/>
      <c r="N175" s="672"/>
      <c r="O175" s="672"/>
    </row>
    <row r="176" spans="1:16" x14ac:dyDescent="0.25">
      <c r="A176" s="671"/>
      <c r="B176" s="673" t="s">
        <v>347</v>
      </c>
      <c r="C176" s="673">
        <f t="shared" ref="C176:E176" si="107">SUM(C177:C178)</f>
        <v>11788</v>
      </c>
      <c r="D176" s="673">
        <f t="shared" si="107"/>
        <v>0</v>
      </c>
      <c r="E176" s="673">
        <f t="shared" si="107"/>
        <v>0</v>
      </c>
      <c r="F176" s="673">
        <f>SUM(F177:F178)</f>
        <v>7642</v>
      </c>
      <c r="G176" s="673"/>
      <c r="H176" s="673"/>
      <c r="I176" s="673"/>
      <c r="J176" s="673">
        <f>SUM(C176+E176+F176+H176)</f>
        <v>19430</v>
      </c>
      <c r="K176" s="673">
        <f>SUM(D176+G176+I176)</f>
        <v>0</v>
      </c>
      <c r="L176" s="673">
        <f>SUM(J176:K176)</f>
        <v>19430</v>
      </c>
      <c r="M176" s="673">
        <f>SUM(M177:M178)</f>
        <v>233740</v>
      </c>
      <c r="N176" s="673">
        <f>SUM(N177:N178)</f>
        <v>2778</v>
      </c>
      <c r="O176" s="673">
        <f>SUM(L176:N176)</f>
        <v>255948</v>
      </c>
    </row>
    <row r="177" spans="1:16" s="677" customFormat="1" x14ac:dyDescent="0.25">
      <c r="A177" s="674"/>
      <c r="B177" s="675" t="s">
        <v>381</v>
      </c>
      <c r="C177" s="675">
        <v>11788</v>
      </c>
      <c r="D177" s="675"/>
      <c r="E177" s="675"/>
      <c r="F177" s="675">
        <v>7642</v>
      </c>
      <c r="G177" s="675"/>
      <c r="H177" s="675"/>
      <c r="I177" s="675"/>
      <c r="J177" s="676">
        <f>SUM(C177+E177+F177+H177)</f>
        <v>19430</v>
      </c>
      <c r="K177" s="676">
        <f>SUM(D177+G177+I177)</f>
        <v>0</v>
      </c>
      <c r="L177" s="676">
        <f>SUM(J177:K177)</f>
        <v>19430</v>
      </c>
      <c r="M177" s="676">
        <v>229007</v>
      </c>
      <c r="N177" s="676">
        <v>2778</v>
      </c>
      <c r="O177" s="676">
        <f>SUM(L177:N177)</f>
        <v>251215</v>
      </c>
    </row>
    <row r="178" spans="1:16" s="677" customFormat="1" x14ac:dyDescent="0.25">
      <c r="A178" s="674"/>
      <c r="B178" s="675" t="s">
        <v>380</v>
      </c>
      <c r="C178" s="675"/>
      <c r="D178" s="675"/>
      <c r="E178" s="675"/>
      <c r="F178" s="675"/>
      <c r="G178" s="675"/>
      <c r="H178" s="675"/>
      <c r="I178" s="675"/>
      <c r="J178" s="676">
        <f>SUM(C178+E178+F178+H178)</f>
        <v>0</v>
      </c>
      <c r="K178" s="676">
        <f>SUM(D178+G178+I178)</f>
        <v>0</v>
      </c>
      <c r="L178" s="676">
        <f>SUM(J178:K178)</f>
        <v>0</v>
      </c>
      <c r="M178" s="676">
        <v>4733</v>
      </c>
      <c r="N178" s="676"/>
      <c r="O178" s="676">
        <f>SUM(L178:N178)</f>
        <v>4733</v>
      </c>
    </row>
    <row r="179" spans="1:16" s="677" customFormat="1" x14ac:dyDescent="0.25">
      <c r="A179" s="674"/>
      <c r="B179" s="675" t="s">
        <v>131</v>
      </c>
      <c r="C179" s="678"/>
      <c r="D179" s="678"/>
      <c r="E179" s="678"/>
      <c r="F179" s="678"/>
      <c r="G179" s="678"/>
      <c r="H179" s="678"/>
      <c r="I179" s="678"/>
      <c r="J179" s="678"/>
      <c r="K179" s="678"/>
      <c r="L179" s="678"/>
      <c r="M179" s="678"/>
      <c r="N179" s="678"/>
      <c r="O179" s="678"/>
    </row>
    <row r="180" spans="1:16" s="677" customFormat="1" ht="31.5" x14ac:dyDescent="0.25">
      <c r="A180" s="674"/>
      <c r="B180" s="678" t="s">
        <v>1235</v>
      </c>
      <c r="C180" s="678"/>
      <c r="D180" s="678"/>
      <c r="E180" s="678"/>
      <c r="F180" s="678"/>
      <c r="G180" s="678"/>
      <c r="H180" s="678"/>
      <c r="I180" s="678"/>
      <c r="J180" s="678">
        <f t="shared" ref="J180:J182" si="108">SUM(C180+E180+F180+H180)</f>
        <v>0</v>
      </c>
      <c r="K180" s="678">
        <f t="shared" ref="K180:K182" si="109">SUM(D180+G180+I180)</f>
        <v>0</v>
      </c>
      <c r="L180" s="678">
        <f t="shared" ref="L180:L182" si="110">SUM(J180:K180)</f>
        <v>0</v>
      </c>
      <c r="M180" s="678">
        <v>1872</v>
      </c>
      <c r="N180" s="678">
        <v>-1872</v>
      </c>
      <c r="O180" s="678">
        <f t="shared" ref="O180:O182" si="111">SUM(L180:N180)</f>
        <v>0</v>
      </c>
    </row>
    <row r="181" spans="1:16" s="677" customFormat="1" ht="47.25" x14ac:dyDescent="0.25">
      <c r="A181" s="674"/>
      <c r="B181" s="679" t="s">
        <v>1215</v>
      </c>
      <c r="C181" s="678"/>
      <c r="D181" s="678"/>
      <c r="E181" s="678"/>
      <c r="F181" s="678"/>
      <c r="G181" s="678"/>
      <c r="H181" s="678"/>
      <c r="I181" s="678"/>
      <c r="J181" s="678">
        <f t="shared" si="108"/>
        <v>0</v>
      </c>
      <c r="K181" s="678">
        <f t="shared" si="109"/>
        <v>0</v>
      </c>
      <c r="L181" s="678">
        <f t="shared" si="110"/>
        <v>0</v>
      </c>
      <c r="M181" s="678">
        <v>213</v>
      </c>
      <c r="N181" s="678"/>
      <c r="O181" s="678">
        <f t="shared" si="111"/>
        <v>213</v>
      </c>
    </row>
    <row r="182" spans="1:16" s="677" customFormat="1" ht="31.5" x14ac:dyDescent="0.25">
      <c r="A182" s="674"/>
      <c r="B182" s="679" t="s">
        <v>915</v>
      </c>
      <c r="C182" s="678"/>
      <c r="D182" s="678"/>
      <c r="E182" s="678"/>
      <c r="F182" s="678">
        <v>4499</v>
      </c>
      <c r="G182" s="678"/>
      <c r="H182" s="678"/>
      <c r="I182" s="678"/>
      <c r="J182" s="678">
        <f t="shared" si="108"/>
        <v>4499</v>
      </c>
      <c r="K182" s="678">
        <f t="shared" si="109"/>
        <v>0</v>
      </c>
      <c r="L182" s="678">
        <f t="shared" si="110"/>
        <v>4499</v>
      </c>
      <c r="M182" s="678">
        <v>56</v>
      </c>
      <c r="N182" s="678"/>
      <c r="O182" s="678">
        <f t="shared" si="111"/>
        <v>4555</v>
      </c>
    </row>
    <row r="183" spans="1:16" s="677" customFormat="1" ht="16.5" thickBot="1" x14ac:dyDescent="0.3">
      <c r="A183" s="674"/>
      <c r="B183" s="675" t="s">
        <v>132</v>
      </c>
      <c r="C183" s="678"/>
      <c r="D183" s="678"/>
      <c r="E183" s="678"/>
      <c r="F183" s="678"/>
      <c r="G183" s="678"/>
      <c r="H183" s="678"/>
      <c r="I183" s="678"/>
      <c r="J183" s="678"/>
      <c r="K183" s="678"/>
      <c r="L183" s="678"/>
      <c r="M183" s="678"/>
      <c r="N183" s="678"/>
      <c r="O183" s="678"/>
    </row>
    <row r="184" spans="1:16" ht="17.25" thickTop="1" thickBot="1" x14ac:dyDescent="0.3">
      <c r="A184" s="667"/>
      <c r="B184" s="680" t="s">
        <v>379</v>
      </c>
      <c r="C184" s="680">
        <f>+C176+C180+C181+C182</f>
        <v>11788</v>
      </c>
      <c r="D184" s="680">
        <f t="shared" ref="D184:O184" si="112">+D176+D180+D181+D182</f>
        <v>0</v>
      </c>
      <c r="E184" s="680">
        <f t="shared" si="112"/>
        <v>0</v>
      </c>
      <c r="F184" s="680">
        <f t="shared" si="112"/>
        <v>12141</v>
      </c>
      <c r="G184" s="680">
        <f t="shared" si="112"/>
        <v>0</v>
      </c>
      <c r="H184" s="680">
        <f t="shared" si="112"/>
        <v>0</v>
      </c>
      <c r="I184" s="680">
        <f t="shared" si="112"/>
        <v>0</v>
      </c>
      <c r="J184" s="680">
        <f t="shared" si="112"/>
        <v>23929</v>
      </c>
      <c r="K184" s="680">
        <f t="shared" si="112"/>
        <v>0</v>
      </c>
      <c r="L184" s="680">
        <f t="shared" si="112"/>
        <v>23929</v>
      </c>
      <c r="M184" s="680">
        <f t="shared" si="112"/>
        <v>235881</v>
      </c>
      <c r="N184" s="680">
        <f t="shared" si="112"/>
        <v>906</v>
      </c>
      <c r="O184" s="680">
        <f t="shared" si="112"/>
        <v>260716</v>
      </c>
      <c r="P184" s="659">
        <f>O185+O186</f>
        <v>260716</v>
      </c>
    </row>
    <row r="185" spans="1:16" ht="17.25" thickTop="1" thickBot="1" x14ac:dyDescent="0.3">
      <c r="A185" s="667"/>
      <c r="B185" s="680" t="s">
        <v>378</v>
      </c>
      <c r="C185" s="680">
        <f>+C177+C180+C181+C182</f>
        <v>11788</v>
      </c>
      <c r="D185" s="680">
        <f t="shared" ref="D185:O185" si="113">+D177+D180+D181+D182</f>
        <v>0</v>
      </c>
      <c r="E185" s="680">
        <f t="shared" si="113"/>
        <v>0</v>
      </c>
      <c r="F185" s="680">
        <f t="shared" si="113"/>
        <v>12141</v>
      </c>
      <c r="G185" s="680">
        <f t="shared" si="113"/>
        <v>0</v>
      </c>
      <c r="H185" s="680">
        <f t="shared" si="113"/>
        <v>0</v>
      </c>
      <c r="I185" s="680">
        <f t="shared" si="113"/>
        <v>0</v>
      </c>
      <c r="J185" s="680">
        <f t="shared" si="113"/>
        <v>23929</v>
      </c>
      <c r="K185" s="680">
        <f t="shared" si="113"/>
        <v>0</v>
      </c>
      <c r="L185" s="680">
        <f t="shared" si="113"/>
        <v>23929</v>
      </c>
      <c r="M185" s="680">
        <f t="shared" si="113"/>
        <v>231148</v>
      </c>
      <c r="N185" s="680">
        <f t="shared" si="113"/>
        <v>906</v>
      </c>
      <c r="O185" s="680">
        <f t="shared" si="113"/>
        <v>255983</v>
      </c>
    </row>
    <row r="186" spans="1:16" ht="17.25" thickTop="1" thickBot="1" x14ac:dyDescent="0.3">
      <c r="A186" s="667"/>
      <c r="B186" s="680" t="s">
        <v>377</v>
      </c>
      <c r="C186" s="680">
        <f>+C178</f>
        <v>0</v>
      </c>
      <c r="D186" s="680">
        <f t="shared" ref="D186:O186" si="114">+D178</f>
        <v>0</v>
      </c>
      <c r="E186" s="680">
        <f t="shared" si="114"/>
        <v>0</v>
      </c>
      <c r="F186" s="680">
        <f t="shared" si="114"/>
        <v>0</v>
      </c>
      <c r="G186" s="680">
        <f t="shared" si="114"/>
        <v>0</v>
      </c>
      <c r="H186" s="680">
        <f t="shared" si="114"/>
        <v>0</v>
      </c>
      <c r="I186" s="680">
        <f t="shared" si="114"/>
        <v>0</v>
      </c>
      <c r="J186" s="680">
        <f t="shared" si="114"/>
        <v>0</v>
      </c>
      <c r="K186" s="680">
        <f t="shared" si="114"/>
        <v>0</v>
      </c>
      <c r="L186" s="680">
        <f t="shared" si="114"/>
        <v>0</v>
      </c>
      <c r="M186" s="680">
        <f t="shared" si="114"/>
        <v>4733</v>
      </c>
      <c r="N186" s="680">
        <f t="shared" si="114"/>
        <v>0</v>
      </c>
      <c r="O186" s="680">
        <f t="shared" si="114"/>
        <v>4733</v>
      </c>
    </row>
    <row r="187" spans="1:16" ht="16.5" thickTop="1" x14ac:dyDescent="0.25">
      <c r="A187" s="682" t="s">
        <v>6</v>
      </c>
      <c r="B187" s="672" t="s">
        <v>444</v>
      </c>
      <c r="C187" s="672"/>
      <c r="D187" s="672"/>
      <c r="E187" s="672"/>
      <c r="F187" s="672"/>
      <c r="G187" s="672"/>
      <c r="H187" s="672"/>
      <c r="I187" s="672"/>
      <c r="J187" s="689"/>
      <c r="K187" s="672"/>
      <c r="L187" s="672"/>
      <c r="M187" s="672"/>
      <c r="N187" s="672"/>
      <c r="O187" s="672"/>
    </row>
    <row r="188" spans="1:16" x14ac:dyDescent="0.25">
      <c r="A188" s="682"/>
      <c r="B188" s="672" t="s">
        <v>347</v>
      </c>
      <c r="C188" s="672">
        <f t="shared" ref="C188:E188" si="115">SUM(C189:C190)</f>
        <v>10094</v>
      </c>
      <c r="D188" s="672">
        <f t="shared" si="115"/>
        <v>0</v>
      </c>
      <c r="E188" s="672">
        <f t="shared" si="115"/>
        <v>0</v>
      </c>
      <c r="F188" s="672">
        <f>SUM(F189:F190)</f>
        <v>5536</v>
      </c>
      <c r="G188" s="672"/>
      <c r="H188" s="672"/>
      <c r="I188" s="672"/>
      <c r="J188" s="690">
        <f>SUM(C188+E188+F188+H188)</f>
        <v>15630</v>
      </c>
      <c r="K188" s="673">
        <f>SUM(D188+G188+I188)</f>
        <v>0</v>
      </c>
      <c r="L188" s="673">
        <f>SUM(J188:K188)</f>
        <v>15630</v>
      </c>
      <c r="M188" s="673">
        <f>SUM(M189:M190)</f>
        <v>233931</v>
      </c>
      <c r="N188" s="673">
        <f>SUM(N189:N190)</f>
        <v>2294</v>
      </c>
      <c r="O188" s="673">
        <f>SUM(L188:N188)</f>
        <v>251855</v>
      </c>
    </row>
    <row r="189" spans="1:16" s="677" customFormat="1" x14ac:dyDescent="0.25">
      <c r="A189" s="683"/>
      <c r="B189" s="675" t="s">
        <v>381</v>
      </c>
      <c r="C189" s="675">
        <v>10094</v>
      </c>
      <c r="D189" s="675"/>
      <c r="E189" s="675"/>
      <c r="F189" s="675">
        <v>5536</v>
      </c>
      <c r="G189" s="675"/>
      <c r="H189" s="675"/>
      <c r="I189" s="675"/>
      <c r="J189" s="691">
        <f>SUM(C189+E189+F189+H189)</f>
        <v>15630</v>
      </c>
      <c r="K189" s="676">
        <f>SUM(D189+G189+I189)</f>
        <v>0</v>
      </c>
      <c r="L189" s="676">
        <f>SUM(J189:K189)</f>
        <v>15630</v>
      </c>
      <c r="M189" s="676">
        <v>229492</v>
      </c>
      <c r="N189" s="676">
        <v>2294</v>
      </c>
      <c r="O189" s="676">
        <f>SUM(L189:N189)</f>
        <v>247416</v>
      </c>
    </row>
    <row r="190" spans="1:16" s="677" customFormat="1" x14ac:dyDescent="0.25">
      <c r="A190" s="683"/>
      <c r="B190" s="675" t="s">
        <v>380</v>
      </c>
      <c r="C190" s="675"/>
      <c r="D190" s="675"/>
      <c r="E190" s="675"/>
      <c r="F190" s="675"/>
      <c r="G190" s="675"/>
      <c r="H190" s="675"/>
      <c r="I190" s="675"/>
      <c r="J190" s="691">
        <f>SUM(C190+E190+F190+H190)</f>
        <v>0</v>
      </c>
      <c r="K190" s="676">
        <f>SUM(D190+G190+I190)</f>
        <v>0</v>
      </c>
      <c r="L190" s="676">
        <f>SUM(J190:K190)</f>
        <v>0</v>
      </c>
      <c r="M190" s="676">
        <v>4439</v>
      </c>
      <c r="N190" s="676"/>
      <c r="O190" s="676">
        <f>SUM(L190:N190)</f>
        <v>4439</v>
      </c>
    </row>
    <row r="191" spans="1:16" s="677" customFormat="1" x14ac:dyDescent="0.25">
      <c r="A191" s="683"/>
      <c r="B191" s="675" t="s">
        <v>131</v>
      </c>
      <c r="C191" s="678"/>
      <c r="D191" s="678"/>
      <c r="E191" s="678"/>
      <c r="F191" s="678"/>
      <c r="G191" s="678"/>
      <c r="H191" s="678"/>
      <c r="I191" s="678"/>
      <c r="J191" s="692"/>
      <c r="K191" s="678"/>
      <c r="L191" s="678"/>
      <c r="M191" s="678"/>
      <c r="N191" s="678"/>
      <c r="O191" s="678"/>
    </row>
    <row r="192" spans="1:16" s="677" customFormat="1" ht="31.5" x14ac:dyDescent="0.25">
      <c r="A192" s="683"/>
      <c r="B192" s="678" t="s">
        <v>1235</v>
      </c>
      <c r="C192" s="678"/>
      <c r="D192" s="678"/>
      <c r="E192" s="678"/>
      <c r="F192" s="678"/>
      <c r="G192" s="678"/>
      <c r="H192" s="678"/>
      <c r="I192" s="678"/>
      <c r="J192" s="692">
        <f t="shared" ref="J192:J193" si="116">SUM(C192+E192+F192+H192)</f>
        <v>0</v>
      </c>
      <c r="K192" s="678">
        <f t="shared" ref="K192:K193" si="117">SUM(D192+G192+I192)</f>
        <v>0</v>
      </c>
      <c r="L192" s="678">
        <f t="shared" ref="L192:L193" si="118">SUM(J192:K192)</f>
        <v>0</v>
      </c>
      <c r="M192" s="678">
        <v>576</v>
      </c>
      <c r="N192" s="678">
        <v>-576</v>
      </c>
      <c r="O192" s="678">
        <f t="shared" ref="O192:O193" si="119">SUM(L192:N192)</f>
        <v>0</v>
      </c>
    </row>
    <row r="193" spans="1:16" s="677" customFormat="1" ht="31.5" x14ac:dyDescent="0.25">
      <c r="A193" s="683"/>
      <c r="B193" s="679" t="s">
        <v>915</v>
      </c>
      <c r="C193" s="678">
        <v>500</v>
      </c>
      <c r="D193" s="678"/>
      <c r="E193" s="678"/>
      <c r="F193" s="678">
        <v>3261</v>
      </c>
      <c r="G193" s="678"/>
      <c r="H193" s="678"/>
      <c r="I193" s="678"/>
      <c r="J193" s="692">
        <f t="shared" si="116"/>
        <v>3761</v>
      </c>
      <c r="K193" s="678">
        <f t="shared" si="117"/>
        <v>0</v>
      </c>
      <c r="L193" s="678">
        <f t="shared" si="118"/>
        <v>3761</v>
      </c>
      <c r="M193" s="678"/>
      <c r="N193" s="678"/>
      <c r="O193" s="678">
        <f t="shared" si="119"/>
        <v>3761</v>
      </c>
    </row>
    <row r="194" spans="1:16" s="677" customFormat="1" ht="16.5" thickBot="1" x14ac:dyDescent="0.3">
      <c r="A194" s="683"/>
      <c r="B194" s="675" t="s">
        <v>132</v>
      </c>
      <c r="C194" s="678"/>
      <c r="D194" s="678"/>
      <c r="E194" s="678"/>
      <c r="F194" s="678"/>
      <c r="G194" s="678"/>
      <c r="H194" s="678"/>
      <c r="I194" s="678"/>
      <c r="J194" s="692"/>
      <c r="K194" s="678"/>
      <c r="L194" s="678"/>
      <c r="M194" s="678"/>
      <c r="N194" s="678"/>
      <c r="O194" s="678"/>
    </row>
    <row r="195" spans="1:16" ht="17.25" thickTop="1" thickBot="1" x14ac:dyDescent="0.3">
      <c r="A195" s="667"/>
      <c r="B195" s="680" t="s">
        <v>379</v>
      </c>
      <c r="C195" s="680">
        <f>+C188+C192+C193</f>
        <v>10594</v>
      </c>
      <c r="D195" s="680">
        <f t="shared" ref="D195:O195" si="120">+D188+D192+D193</f>
        <v>0</v>
      </c>
      <c r="E195" s="680">
        <f t="shared" si="120"/>
        <v>0</v>
      </c>
      <c r="F195" s="680">
        <f t="shared" si="120"/>
        <v>8797</v>
      </c>
      <c r="G195" s="680">
        <f t="shared" si="120"/>
        <v>0</v>
      </c>
      <c r="H195" s="680">
        <f t="shared" si="120"/>
        <v>0</v>
      </c>
      <c r="I195" s="680">
        <f t="shared" si="120"/>
        <v>0</v>
      </c>
      <c r="J195" s="680">
        <f t="shared" si="120"/>
        <v>19391</v>
      </c>
      <c r="K195" s="680">
        <f t="shared" si="120"/>
        <v>0</v>
      </c>
      <c r="L195" s="680">
        <f t="shared" si="120"/>
        <v>19391</v>
      </c>
      <c r="M195" s="680">
        <f t="shared" si="120"/>
        <v>234507</v>
      </c>
      <c r="N195" s="680">
        <f t="shared" si="120"/>
        <v>1718</v>
      </c>
      <c r="O195" s="680">
        <f t="shared" si="120"/>
        <v>255616</v>
      </c>
      <c r="P195" s="659">
        <f>O196+O197</f>
        <v>255616</v>
      </c>
    </row>
    <row r="196" spans="1:16" ht="17.25" thickTop="1" thickBot="1" x14ac:dyDescent="0.3">
      <c r="A196" s="667"/>
      <c r="B196" s="680" t="s">
        <v>378</v>
      </c>
      <c r="C196" s="680">
        <f>+C189+C192+C193</f>
        <v>10594</v>
      </c>
      <c r="D196" s="680">
        <f t="shared" ref="D196:O196" si="121">+D189+D192+D193</f>
        <v>0</v>
      </c>
      <c r="E196" s="680">
        <f t="shared" si="121"/>
        <v>0</v>
      </c>
      <c r="F196" s="680">
        <f t="shared" si="121"/>
        <v>8797</v>
      </c>
      <c r="G196" s="680">
        <f t="shared" si="121"/>
        <v>0</v>
      </c>
      <c r="H196" s="680">
        <f t="shared" si="121"/>
        <v>0</v>
      </c>
      <c r="I196" s="680">
        <f t="shared" si="121"/>
        <v>0</v>
      </c>
      <c r="J196" s="680">
        <f t="shared" si="121"/>
        <v>19391</v>
      </c>
      <c r="K196" s="680">
        <f t="shared" si="121"/>
        <v>0</v>
      </c>
      <c r="L196" s="680">
        <f t="shared" si="121"/>
        <v>19391</v>
      </c>
      <c r="M196" s="680">
        <f t="shared" si="121"/>
        <v>230068</v>
      </c>
      <c r="N196" s="680">
        <f t="shared" si="121"/>
        <v>1718</v>
      </c>
      <c r="O196" s="680">
        <f t="shared" si="121"/>
        <v>251177</v>
      </c>
    </row>
    <row r="197" spans="1:16" ht="17.25" thickTop="1" thickBot="1" x14ac:dyDescent="0.3">
      <c r="A197" s="667"/>
      <c r="B197" s="680" t="s">
        <v>377</v>
      </c>
      <c r="C197" s="680">
        <f>+C190</f>
        <v>0</v>
      </c>
      <c r="D197" s="680">
        <f t="shared" ref="D197:O197" si="122">+D190</f>
        <v>0</v>
      </c>
      <c r="E197" s="680">
        <f t="shared" si="122"/>
        <v>0</v>
      </c>
      <c r="F197" s="680">
        <f t="shared" si="122"/>
        <v>0</v>
      </c>
      <c r="G197" s="680">
        <f t="shared" si="122"/>
        <v>0</v>
      </c>
      <c r="H197" s="680">
        <f t="shared" si="122"/>
        <v>0</v>
      </c>
      <c r="I197" s="680">
        <f t="shared" si="122"/>
        <v>0</v>
      </c>
      <c r="J197" s="680">
        <f t="shared" si="122"/>
        <v>0</v>
      </c>
      <c r="K197" s="680">
        <f t="shared" si="122"/>
        <v>0</v>
      </c>
      <c r="L197" s="680">
        <f t="shared" si="122"/>
        <v>0</v>
      </c>
      <c r="M197" s="680">
        <f t="shared" si="122"/>
        <v>4439</v>
      </c>
      <c r="N197" s="680">
        <f t="shared" si="122"/>
        <v>0</v>
      </c>
      <c r="O197" s="680">
        <f t="shared" si="122"/>
        <v>4439</v>
      </c>
    </row>
    <row r="198" spans="1:16" ht="16.5" thickTop="1" x14ac:dyDescent="0.25">
      <c r="A198" s="671" t="s">
        <v>7</v>
      </c>
      <c r="B198" s="672" t="s">
        <v>398</v>
      </c>
      <c r="C198" s="672"/>
      <c r="D198" s="672"/>
      <c r="E198" s="672"/>
      <c r="F198" s="672"/>
      <c r="G198" s="672"/>
      <c r="H198" s="672"/>
      <c r="I198" s="672"/>
      <c r="J198" s="672"/>
      <c r="K198" s="672"/>
      <c r="L198" s="672"/>
      <c r="M198" s="672"/>
      <c r="N198" s="672"/>
      <c r="O198" s="672"/>
    </row>
    <row r="199" spans="1:16" x14ac:dyDescent="0.25">
      <c r="A199" s="671"/>
      <c r="B199" s="673" t="s">
        <v>347</v>
      </c>
      <c r="C199" s="673">
        <f t="shared" ref="C199:E199" si="123">SUM(C200:C201)</f>
        <v>4492</v>
      </c>
      <c r="D199" s="673">
        <f t="shared" si="123"/>
        <v>0</v>
      </c>
      <c r="E199" s="673">
        <f t="shared" si="123"/>
        <v>0</v>
      </c>
      <c r="F199" s="673">
        <f>SUM(F200:F201)</f>
        <v>2179</v>
      </c>
      <c r="G199" s="673"/>
      <c r="H199" s="673"/>
      <c r="I199" s="673"/>
      <c r="J199" s="673">
        <f>SUM(C199+E199+F199+H199)</f>
        <v>6671</v>
      </c>
      <c r="K199" s="673">
        <f>SUM(D199+G199+I199)</f>
        <v>0</v>
      </c>
      <c r="L199" s="673">
        <f>SUM(J199:K199)</f>
        <v>6671</v>
      </c>
      <c r="M199" s="673">
        <f>SUM(M200:M201)</f>
        <v>46949</v>
      </c>
      <c r="N199" s="673">
        <f>SUM(N200:N201)</f>
        <v>1595</v>
      </c>
      <c r="O199" s="673">
        <f>SUM(L199:N199)</f>
        <v>55215</v>
      </c>
    </row>
    <row r="200" spans="1:16" s="677" customFormat="1" x14ac:dyDescent="0.25">
      <c r="A200" s="674"/>
      <c r="B200" s="675" t="s">
        <v>381</v>
      </c>
      <c r="C200" s="675">
        <v>4492</v>
      </c>
      <c r="D200" s="675"/>
      <c r="E200" s="675"/>
      <c r="F200" s="675">
        <v>2179</v>
      </c>
      <c r="G200" s="675"/>
      <c r="H200" s="675"/>
      <c r="I200" s="675"/>
      <c r="J200" s="676">
        <f>SUM(C200+E200+F200+H200)</f>
        <v>6671</v>
      </c>
      <c r="K200" s="676">
        <f>SUM(D200+G200+I200)</f>
        <v>0</v>
      </c>
      <c r="L200" s="676">
        <f>SUM(J200:K200)</f>
        <v>6671</v>
      </c>
      <c r="M200" s="676">
        <v>45920</v>
      </c>
      <c r="N200" s="676">
        <v>1595</v>
      </c>
      <c r="O200" s="676">
        <f>SUM(L200:N200)</f>
        <v>54186</v>
      </c>
    </row>
    <row r="201" spans="1:16" s="677" customFormat="1" x14ac:dyDescent="0.25">
      <c r="A201" s="674"/>
      <c r="B201" s="675" t="s">
        <v>380</v>
      </c>
      <c r="C201" s="675"/>
      <c r="D201" s="675"/>
      <c r="E201" s="675"/>
      <c r="F201" s="675"/>
      <c r="G201" s="675"/>
      <c r="H201" s="675"/>
      <c r="I201" s="675"/>
      <c r="J201" s="676">
        <f>SUM(C201+E201+F201+H201)</f>
        <v>0</v>
      </c>
      <c r="K201" s="676">
        <f>SUM(D201+G201+I201)</f>
        <v>0</v>
      </c>
      <c r="L201" s="676">
        <f>SUM(J201:K201)</f>
        <v>0</v>
      </c>
      <c r="M201" s="676">
        <v>1029</v>
      </c>
      <c r="N201" s="676"/>
      <c r="O201" s="676">
        <f>SUM(L201:N201)</f>
        <v>1029</v>
      </c>
    </row>
    <row r="202" spans="1:16" s="677" customFormat="1" x14ac:dyDescent="0.25">
      <c r="A202" s="674"/>
      <c r="B202" s="675" t="s">
        <v>131</v>
      </c>
      <c r="C202" s="678"/>
      <c r="D202" s="678"/>
      <c r="E202" s="678"/>
      <c r="F202" s="678"/>
      <c r="G202" s="678"/>
      <c r="H202" s="678"/>
      <c r="I202" s="678"/>
      <c r="J202" s="678"/>
      <c r="K202" s="678"/>
      <c r="L202" s="678"/>
      <c r="M202" s="678"/>
      <c r="N202" s="678"/>
      <c r="O202" s="678"/>
    </row>
    <row r="203" spans="1:16" s="677" customFormat="1" x14ac:dyDescent="0.25">
      <c r="A203" s="674"/>
      <c r="B203" s="678"/>
      <c r="C203" s="678"/>
      <c r="D203" s="678"/>
      <c r="E203" s="678"/>
      <c r="F203" s="678"/>
      <c r="G203" s="678"/>
      <c r="H203" s="678"/>
      <c r="I203" s="678"/>
      <c r="J203" s="678">
        <f t="shared" ref="J203:J205" si="124">SUM(C203+E203+F203+H203)</f>
        <v>0</v>
      </c>
      <c r="K203" s="678">
        <f t="shared" ref="K203" si="125">SUM(D203+G203+I203)</f>
        <v>0</v>
      </c>
      <c r="L203" s="678">
        <f t="shared" ref="L203:L205" si="126">SUM(J203:K203)</f>
        <v>0</v>
      </c>
      <c r="M203" s="678"/>
      <c r="N203" s="678"/>
      <c r="O203" s="678">
        <f t="shared" ref="O203:O205" si="127">SUM(L203:N203)</f>
        <v>0</v>
      </c>
    </row>
    <row r="204" spans="1:16" s="677" customFormat="1" x14ac:dyDescent="0.25">
      <c r="A204" s="674"/>
      <c r="B204" s="675" t="s">
        <v>132</v>
      </c>
      <c r="C204" s="678"/>
      <c r="D204" s="678"/>
      <c r="E204" s="678"/>
      <c r="F204" s="678"/>
      <c r="G204" s="678"/>
      <c r="H204" s="678"/>
      <c r="I204" s="678"/>
      <c r="J204" s="678"/>
      <c r="K204" s="678"/>
      <c r="L204" s="678"/>
      <c r="M204" s="678"/>
      <c r="N204" s="678"/>
      <c r="O204" s="678"/>
    </row>
    <row r="205" spans="1:16" s="677" customFormat="1" ht="16.5" thickBot="1" x14ac:dyDescent="0.3">
      <c r="A205" s="674"/>
      <c r="B205" s="678"/>
      <c r="C205" s="678"/>
      <c r="D205" s="678"/>
      <c r="E205" s="678"/>
      <c r="F205" s="678"/>
      <c r="G205" s="678"/>
      <c r="H205" s="678"/>
      <c r="I205" s="678"/>
      <c r="J205" s="678">
        <f t="shared" si="124"/>
        <v>0</v>
      </c>
      <c r="K205" s="678"/>
      <c r="L205" s="678">
        <f t="shared" si="126"/>
        <v>0</v>
      </c>
      <c r="M205" s="678"/>
      <c r="N205" s="678"/>
      <c r="O205" s="678">
        <f t="shared" si="127"/>
        <v>0</v>
      </c>
    </row>
    <row r="206" spans="1:16" ht="17.25" thickTop="1" thickBot="1" x14ac:dyDescent="0.3">
      <c r="A206" s="667"/>
      <c r="B206" s="680" t="s">
        <v>379</v>
      </c>
      <c r="C206" s="680">
        <f>+C199+C203+C205</f>
        <v>4492</v>
      </c>
      <c r="D206" s="680">
        <f t="shared" ref="D206:O206" si="128">+D199+D203+D205</f>
        <v>0</v>
      </c>
      <c r="E206" s="680">
        <f t="shared" si="128"/>
        <v>0</v>
      </c>
      <c r="F206" s="680">
        <f t="shared" si="128"/>
        <v>2179</v>
      </c>
      <c r="G206" s="680">
        <f t="shared" si="128"/>
        <v>0</v>
      </c>
      <c r="H206" s="680">
        <f t="shared" si="128"/>
        <v>0</v>
      </c>
      <c r="I206" s="680">
        <f t="shared" si="128"/>
        <v>0</v>
      </c>
      <c r="J206" s="680">
        <f t="shared" si="128"/>
        <v>6671</v>
      </c>
      <c r="K206" s="680">
        <f t="shared" si="128"/>
        <v>0</v>
      </c>
      <c r="L206" s="680">
        <f t="shared" si="128"/>
        <v>6671</v>
      </c>
      <c r="M206" s="680">
        <f t="shared" si="128"/>
        <v>46949</v>
      </c>
      <c r="N206" s="680">
        <f t="shared" si="128"/>
        <v>1595</v>
      </c>
      <c r="O206" s="680">
        <f t="shared" si="128"/>
        <v>55215</v>
      </c>
      <c r="P206" s="659">
        <f>O207+O208</f>
        <v>55215</v>
      </c>
    </row>
    <row r="207" spans="1:16" ht="17.25" thickTop="1" thickBot="1" x14ac:dyDescent="0.3">
      <c r="A207" s="667"/>
      <c r="B207" s="680" t="s">
        <v>378</v>
      </c>
      <c r="C207" s="680">
        <f>+C200+C203</f>
        <v>4492</v>
      </c>
      <c r="D207" s="680">
        <f t="shared" ref="D207:O207" si="129">+D200+D203</f>
        <v>0</v>
      </c>
      <c r="E207" s="680">
        <f t="shared" si="129"/>
        <v>0</v>
      </c>
      <c r="F207" s="680">
        <f t="shared" si="129"/>
        <v>2179</v>
      </c>
      <c r="G207" s="680">
        <f t="shared" si="129"/>
        <v>0</v>
      </c>
      <c r="H207" s="680">
        <f t="shared" si="129"/>
        <v>0</v>
      </c>
      <c r="I207" s="680">
        <f t="shared" si="129"/>
        <v>0</v>
      </c>
      <c r="J207" s="680">
        <f t="shared" si="129"/>
        <v>6671</v>
      </c>
      <c r="K207" s="680">
        <f t="shared" si="129"/>
        <v>0</v>
      </c>
      <c r="L207" s="680">
        <f t="shared" si="129"/>
        <v>6671</v>
      </c>
      <c r="M207" s="680">
        <f t="shared" si="129"/>
        <v>45920</v>
      </c>
      <c r="N207" s="680">
        <f t="shared" si="129"/>
        <v>1595</v>
      </c>
      <c r="O207" s="680">
        <f t="shared" si="129"/>
        <v>54186</v>
      </c>
    </row>
    <row r="208" spans="1:16" ht="17.25" thickTop="1" thickBot="1" x14ac:dyDescent="0.3">
      <c r="A208" s="667"/>
      <c r="B208" s="680" t="s">
        <v>377</v>
      </c>
      <c r="C208" s="680">
        <f>+C201+C205</f>
        <v>0</v>
      </c>
      <c r="D208" s="680">
        <f t="shared" ref="D208:O208" si="130">+D201+D205</f>
        <v>0</v>
      </c>
      <c r="E208" s="680">
        <f t="shared" si="130"/>
        <v>0</v>
      </c>
      <c r="F208" s="680">
        <f t="shared" si="130"/>
        <v>0</v>
      </c>
      <c r="G208" s="680">
        <f t="shared" si="130"/>
        <v>0</v>
      </c>
      <c r="H208" s="680">
        <f t="shared" si="130"/>
        <v>0</v>
      </c>
      <c r="I208" s="680">
        <f t="shared" si="130"/>
        <v>0</v>
      </c>
      <c r="J208" s="680">
        <f t="shared" si="130"/>
        <v>0</v>
      </c>
      <c r="K208" s="680">
        <f t="shared" si="130"/>
        <v>0</v>
      </c>
      <c r="L208" s="680">
        <f t="shared" si="130"/>
        <v>0</v>
      </c>
      <c r="M208" s="680">
        <f t="shared" si="130"/>
        <v>1029</v>
      </c>
      <c r="N208" s="680">
        <f t="shared" si="130"/>
        <v>0</v>
      </c>
      <c r="O208" s="680">
        <f t="shared" si="130"/>
        <v>1029</v>
      </c>
    </row>
    <row r="209" spans="1:16" ht="16.5" thickTop="1" x14ac:dyDescent="0.25">
      <c r="A209" s="697" t="s">
        <v>8</v>
      </c>
      <c r="B209" s="695" t="s">
        <v>445</v>
      </c>
      <c r="C209" s="695"/>
      <c r="D209" s="695"/>
      <c r="E209" s="695"/>
      <c r="F209" s="695"/>
      <c r="G209" s="695"/>
      <c r="H209" s="695"/>
      <c r="I209" s="695"/>
      <c r="J209" s="695"/>
      <c r="K209" s="695"/>
      <c r="L209" s="695"/>
      <c r="M209" s="695"/>
      <c r="N209" s="695"/>
      <c r="O209" s="695"/>
    </row>
    <row r="210" spans="1:16" x14ac:dyDescent="0.25">
      <c r="A210" s="682"/>
      <c r="B210" s="672" t="s">
        <v>347</v>
      </c>
      <c r="C210" s="672">
        <f t="shared" ref="C210:E210" si="131">SUM(C211:C212)</f>
        <v>16828</v>
      </c>
      <c r="D210" s="672">
        <f t="shared" si="131"/>
        <v>0</v>
      </c>
      <c r="E210" s="672">
        <f t="shared" si="131"/>
        <v>0</v>
      </c>
      <c r="F210" s="672">
        <f>SUM(F211:F212)</f>
        <v>6405</v>
      </c>
      <c r="G210" s="672"/>
      <c r="H210" s="672"/>
      <c r="I210" s="672"/>
      <c r="J210" s="673">
        <f>SUM(C210+E210+F210+H210)</f>
        <v>23233</v>
      </c>
      <c r="K210" s="673">
        <f>SUM(D210+G210+I210)</f>
        <v>0</v>
      </c>
      <c r="L210" s="673">
        <f>SUM(J210:K210)</f>
        <v>23233</v>
      </c>
      <c r="M210" s="673">
        <f>SUM(M211:M212)</f>
        <v>284417</v>
      </c>
      <c r="N210" s="673">
        <f>SUM(N211:N212)</f>
        <v>1226</v>
      </c>
      <c r="O210" s="673">
        <f>SUM(L210:N210)</f>
        <v>308876</v>
      </c>
    </row>
    <row r="211" spans="1:16" s="677" customFormat="1" x14ac:dyDescent="0.25">
      <c r="A211" s="683"/>
      <c r="B211" s="684" t="s">
        <v>381</v>
      </c>
      <c r="C211" s="684">
        <v>16828</v>
      </c>
      <c r="D211" s="684"/>
      <c r="E211" s="684"/>
      <c r="F211" s="684">
        <v>6405</v>
      </c>
      <c r="G211" s="684"/>
      <c r="H211" s="684"/>
      <c r="I211" s="684"/>
      <c r="J211" s="685">
        <f>SUM(C211+E211+F211+H211)</f>
        <v>23233</v>
      </c>
      <c r="K211" s="685">
        <f>SUM(D211+G211+I211)</f>
        <v>0</v>
      </c>
      <c r="L211" s="685">
        <f>SUM(J211:K211)</f>
        <v>23233</v>
      </c>
      <c r="M211" s="685">
        <v>279003</v>
      </c>
      <c r="N211" s="685">
        <v>1226</v>
      </c>
      <c r="O211" s="685">
        <f>SUM(L211:N211)</f>
        <v>303462</v>
      </c>
    </row>
    <row r="212" spans="1:16" s="677" customFormat="1" x14ac:dyDescent="0.25">
      <c r="A212" s="674"/>
      <c r="B212" s="675" t="s">
        <v>380</v>
      </c>
      <c r="C212" s="675"/>
      <c r="D212" s="675"/>
      <c r="E212" s="675"/>
      <c r="F212" s="675"/>
      <c r="G212" s="675"/>
      <c r="H212" s="675"/>
      <c r="I212" s="675"/>
      <c r="J212" s="676">
        <f>SUM(C212+E212+F212+H212)</f>
        <v>0</v>
      </c>
      <c r="K212" s="676">
        <f>SUM(D212+G212+I212)</f>
        <v>0</v>
      </c>
      <c r="L212" s="676">
        <f>SUM(J212:K212)</f>
        <v>0</v>
      </c>
      <c r="M212" s="676">
        <v>5414</v>
      </c>
      <c r="N212" s="676"/>
      <c r="O212" s="676">
        <f>SUM(L212:N212)</f>
        <v>5414</v>
      </c>
    </row>
    <row r="213" spans="1:16" s="677" customFormat="1" x14ac:dyDescent="0.25">
      <c r="A213" s="674"/>
      <c r="B213" s="675" t="s">
        <v>131</v>
      </c>
      <c r="C213" s="678"/>
      <c r="D213" s="678"/>
      <c r="E213" s="678"/>
      <c r="F213" s="678"/>
      <c r="G213" s="678"/>
      <c r="H213" s="678"/>
      <c r="I213" s="678"/>
      <c r="J213" s="678"/>
      <c r="K213" s="678"/>
      <c r="L213" s="678"/>
      <c r="M213" s="678"/>
      <c r="N213" s="678"/>
      <c r="O213" s="678"/>
    </row>
    <row r="214" spans="1:16" s="677" customFormat="1" ht="31.5" x14ac:dyDescent="0.25">
      <c r="A214" s="674"/>
      <c r="B214" s="678" t="s">
        <v>1235</v>
      </c>
      <c r="C214" s="678"/>
      <c r="D214" s="678"/>
      <c r="E214" s="678"/>
      <c r="F214" s="678"/>
      <c r="G214" s="678"/>
      <c r="H214" s="678"/>
      <c r="I214" s="678"/>
      <c r="J214" s="678">
        <f t="shared" ref="J214:J215" si="132">SUM(C214+E214+F214+H214)</f>
        <v>0</v>
      </c>
      <c r="K214" s="678">
        <f t="shared" ref="K214:K215" si="133">SUM(D214+G214+I214)</f>
        <v>0</v>
      </c>
      <c r="L214" s="678">
        <f t="shared" ref="L214:L215" si="134">SUM(J214:K214)</f>
        <v>0</v>
      </c>
      <c r="M214" s="678">
        <v>573</v>
      </c>
      <c r="N214" s="678">
        <v>-573</v>
      </c>
      <c r="O214" s="678">
        <f t="shared" ref="O214:O215" si="135">SUM(L214:N214)</f>
        <v>0</v>
      </c>
    </row>
    <row r="215" spans="1:16" s="677" customFormat="1" ht="31.5" x14ac:dyDescent="0.25">
      <c r="A215" s="674"/>
      <c r="B215" s="679" t="s">
        <v>915</v>
      </c>
      <c r="C215" s="678"/>
      <c r="D215" s="678"/>
      <c r="E215" s="678"/>
      <c r="F215" s="678">
        <v>5331</v>
      </c>
      <c r="G215" s="678"/>
      <c r="H215" s="678"/>
      <c r="I215" s="678"/>
      <c r="J215" s="678">
        <f t="shared" si="132"/>
        <v>5331</v>
      </c>
      <c r="K215" s="678">
        <f t="shared" si="133"/>
        <v>0</v>
      </c>
      <c r="L215" s="678">
        <f t="shared" si="134"/>
        <v>5331</v>
      </c>
      <c r="M215" s="678"/>
      <c r="N215" s="678"/>
      <c r="O215" s="678">
        <f t="shared" si="135"/>
        <v>5331</v>
      </c>
    </row>
    <row r="216" spans="1:16" s="677" customFormat="1" ht="16.5" thickBot="1" x14ac:dyDescent="0.3">
      <c r="A216" s="674"/>
      <c r="B216" s="675" t="s">
        <v>132</v>
      </c>
      <c r="C216" s="678"/>
      <c r="D216" s="678"/>
      <c r="E216" s="678"/>
      <c r="F216" s="678"/>
      <c r="G216" s="678"/>
      <c r="H216" s="678"/>
      <c r="I216" s="678"/>
      <c r="J216" s="678"/>
      <c r="K216" s="678"/>
      <c r="L216" s="678"/>
      <c r="M216" s="678"/>
      <c r="N216" s="678"/>
      <c r="O216" s="678"/>
    </row>
    <row r="217" spans="1:16" ht="17.25" thickTop="1" thickBot="1" x14ac:dyDescent="0.3">
      <c r="A217" s="667"/>
      <c r="B217" s="680" t="s">
        <v>379</v>
      </c>
      <c r="C217" s="680">
        <f>+C210+C214+C215</f>
        <v>16828</v>
      </c>
      <c r="D217" s="680">
        <f t="shared" ref="D217:O217" si="136">+D210+D214+D215</f>
        <v>0</v>
      </c>
      <c r="E217" s="680">
        <f t="shared" si="136"/>
        <v>0</v>
      </c>
      <c r="F217" s="680">
        <f t="shared" si="136"/>
        <v>11736</v>
      </c>
      <c r="G217" s="680">
        <f t="shared" si="136"/>
        <v>0</v>
      </c>
      <c r="H217" s="680">
        <f t="shared" si="136"/>
        <v>0</v>
      </c>
      <c r="I217" s="680">
        <f t="shared" si="136"/>
        <v>0</v>
      </c>
      <c r="J217" s="680">
        <f t="shared" si="136"/>
        <v>28564</v>
      </c>
      <c r="K217" s="680">
        <f t="shared" si="136"/>
        <v>0</v>
      </c>
      <c r="L217" s="680">
        <f t="shared" si="136"/>
        <v>28564</v>
      </c>
      <c r="M217" s="680">
        <f t="shared" si="136"/>
        <v>284990</v>
      </c>
      <c r="N217" s="680">
        <f t="shared" si="136"/>
        <v>653</v>
      </c>
      <c r="O217" s="680">
        <f t="shared" si="136"/>
        <v>314207</v>
      </c>
      <c r="P217" s="659">
        <f>O218+O219</f>
        <v>314207</v>
      </c>
    </row>
    <row r="218" spans="1:16" ht="17.25" thickTop="1" thickBot="1" x14ac:dyDescent="0.3">
      <c r="A218" s="667"/>
      <c r="B218" s="680" t="s">
        <v>378</v>
      </c>
      <c r="C218" s="680">
        <f>+C211+C214+C215</f>
        <v>16828</v>
      </c>
      <c r="D218" s="680">
        <f t="shared" ref="D218:O218" si="137">+D211+D214+D215</f>
        <v>0</v>
      </c>
      <c r="E218" s="680">
        <f t="shared" si="137"/>
        <v>0</v>
      </c>
      <c r="F218" s="680">
        <f t="shared" si="137"/>
        <v>11736</v>
      </c>
      <c r="G218" s="680">
        <f t="shared" si="137"/>
        <v>0</v>
      </c>
      <c r="H218" s="680">
        <f t="shared" si="137"/>
        <v>0</v>
      </c>
      <c r="I218" s="680">
        <f t="shared" si="137"/>
        <v>0</v>
      </c>
      <c r="J218" s="680">
        <f t="shared" si="137"/>
        <v>28564</v>
      </c>
      <c r="K218" s="680">
        <f t="shared" si="137"/>
        <v>0</v>
      </c>
      <c r="L218" s="680">
        <f t="shared" si="137"/>
        <v>28564</v>
      </c>
      <c r="M218" s="680">
        <f t="shared" si="137"/>
        <v>279576</v>
      </c>
      <c r="N218" s="680">
        <f t="shared" si="137"/>
        <v>653</v>
      </c>
      <c r="O218" s="680">
        <f t="shared" si="137"/>
        <v>308793</v>
      </c>
    </row>
    <row r="219" spans="1:16" ht="17.25" thickTop="1" thickBot="1" x14ac:dyDescent="0.3">
      <c r="A219" s="667"/>
      <c r="B219" s="680" t="s">
        <v>377</v>
      </c>
      <c r="C219" s="680">
        <f>+C212</f>
        <v>0</v>
      </c>
      <c r="D219" s="680">
        <f t="shared" ref="D219:O219" si="138">+D212</f>
        <v>0</v>
      </c>
      <c r="E219" s="680">
        <f t="shared" si="138"/>
        <v>0</v>
      </c>
      <c r="F219" s="680">
        <f t="shared" si="138"/>
        <v>0</v>
      </c>
      <c r="G219" s="680">
        <f t="shared" si="138"/>
        <v>0</v>
      </c>
      <c r="H219" s="680">
        <f t="shared" si="138"/>
        <v>0</v>
      </c>
      <c r="I219" s="680">
        <f t="shared" si="138"/>
        <v>0</v>
      </c>
      <c r="J219" s="680">
        <f t="shared" si="138"/>
        <v>0</v>
      </c>
      <c r="K219" s="680">
        <f t="shared" si="138"/>
        <v>0</v>
      </c>
      <c r="L219" s="680">
        <f t="shared" si="138"/>
        <v>0</v>
      </c>
      <c r="M219" s="680">
        <f t="shared" si="138"/>
        <v>5414</v>
      </c>
      <c r="N219" s="680">
        <f t="shared" si="138"/>
        <v>0</v>
      </c>
      <c r="O219" s="680">
        <f t="shared" si="138"/>
        <v>5414</v>
      </c>
    </row>
    <row r="220" spans="1:16" ht="16.5" thickTop="1" x14ac:dyDescent="0.25">
      <c r="A220" s="671" t="s">
        <v>9</v>
      </c>
      <c r="B220" s="672" t="s">
        <v>397</v>
      </c>
      <c r="C220" s="672"/>
      <c r="D220" s="672"/>
      <c r="E220" s="672"/>
      <c r="F220" s="672"/>
      <c r="G220" s="672"/>
      <c r="H220" s="672"/>
      <c r="I220" s="672"/>
      <c r="J220" s="672"/>
      <c r="K220" s="672"/>
      <c r="L220" s="672"/>
      <c r="M220" s="672"/>
      <c r="N220" s="672"/>
      <c r="O220" s="672"/>
    </row>
    <row r="221" spans="1:16" x14ac:dyDescent="0.25">
      <c r="A221" s="671"/>
      <c r="B221" s="673" t="s">
        <v>347</v>
      </c>
      <c r="C221" s="673">
        <f t="shared" ref="C221:E221" si="139">SUM(C222:C223)</f>
        <v>9777</v>
      </c>
      <c r="D221" s="673">
        <f t="shared" si="139"/>
        <v>0</v>
      </c>
      <c r="E221" s="673">
        <f t="shared" si="139"/>
        <v>0</v>
      </c>
      <c r="F221" s="673">
        <f>SUM(F222:F223)</f>
        <v>8814</v>
      </c>
      <c r="G221" s="673"/>
      <c r="H221" s="673"/>
      <c r="I221" s="673"/>
      <c r="J221" s="673">
        <f>SUM(C221+E221+F221+H221)</f>
        <v>18591</v>
      </c>
      <c r="K221" s="673">
        <f>SUM(D221+G221+I221)</f>
        <v>0</v>
      </c>
      <c r="L221" s="673">
        <f>SUM(J221:K221)</f>
        <v>18591</v>
      </c>
      <c r="M221" s="673">
        <f>SUM(M222:M223)</f>
        <v>195367</v>
      </c>
      <c r="N221" s="673">
        <f>SUM(N222:N223)</f>
        <v>6047</v>
      </c>
      <c r="O221" s="673">
        <f>SUM(L221:N221)</f>
        <v>220005</v>
      </c>
    </row>
    <row r="222" spans="1:16" s="677" customFormat="1" x14ac:dyDescent="0.25">
      <c r="A222" s="674"/>
      <c r="B222" s="675" t="s">
        <v>381</v>
      </c>
      <c r="C222" s="675">
        <v>9777</v>
      </c>
      <c r="D222" s="675"/>
      <c r="E222" s="675"/>
      <c r="F222" s="675">
        <v>8814</v>
      </c>
      <c r="G222" s="675"/>
      <c r="H222" s="675"/>
      <c r="I222" s="693"/>
      <c r="J222" s="691">
        <f>SUM(C222+E222+F222+H222)</f>
        <v>18591</v>
      </c>
      <c r="K222" s="691">
        <f>SUM(D222+G222+I222)</f>
        <v>0</v>
      </c>
      <c r="L222" s="676">
        <f>SUM(J222:K222)</f>
        <v>18591</v>
      </c>
      <c r="M222" s="676">
        <v>191400</v>
      </c>
      <c r="N222" s="676">
        <v>6047</v>
      </c>
      <c r="O222" s="676">
        <f>SUM(L222:N222)</f>
        <v>216038</v>
      </c>
    </row>
    <row r="223" spans="1:16" s="677" customFormat="1" x14ac:dyDescent="0.25">
      <c r="A223" s="674"/>
      <c r="B223" s="675" t="s">
        <v>380</v>
      </c>
      <c r="C223" s="675"/>
      <c r="D223" s="675"/>
      <c r="E223" s="675"/>
      <c r="F223" s="675"/>
      <c r="G223" s="675"/>
      <c r="H223" s="675"/>
      <c r="I223" s="693"/>
      <c r="J223" s="693">
        <f>SUM(C223+E223+F223+H223)</f>
        <v>0</v>
      </c>
      <c r="K223" s="693">
        <f>SUM(D223+G223+I223)</f>
        <v>0</v>
      </c>
      <c r="L223" s="675">
        <f>SUM(J223:K223)</f>
        <v>0</v>
      </c>
      <c r="M223" s="675">
        <v>3967</v>
      </c>
      <c r="N223" s="675"/>
      <c r="O223" s="675">
        <f>SUM(L223:N223)</f>
        <v>3967</v>
      </c>
    </row>
    <row r="224" spans="1:16" s="677" customFormat="1" x14ac:dyDescent="0.25">
      <c r="A224" s="683"/>
      <c r="B224" s="694" t="s">
        <v>131</v>
      </c>
      <c r="C224" s="688"/>
      <c r="D224" s="688"/>
      <c r="E224" s="688"/>
      <c r="F224" s="688"/>
      <c r="G224" s="688"/>
      <c r="H224" s="688"/>
      <c r="I224" s="688"/>
      <c r="J224" s="688"/>
      <c r="K224" s="688"/>
      <c r="L224" s="688"/>
      <c r="M224" s="688"/>
      <c r="N224" s="688"/>
      <c r="O224" s="688"/>
    </row>
    <row r="225" spans="1:16" s="677" customFormat="1" ht="31.5" x14ac:dyDescent="0.25">
      <c r="A225" s="674"/>
      <c r="B225" s="678" t="s">
        <v>1235</v>
      </c>
      <c r="C225" s="678"/>
      <c r="D225" s="678"/>
      <c r="E225" s="678"/>
      <c r="F225" s="678"/>
      <c r="G225" s="678"/>
      <c r="H225" s="678"/>
      <c r="I225" s="692"/>
      <c r="J225" s="692">
        <f t="shared" ref="J225:J228" si="140">SUM(C225+E225+F225+H225)</f>
        <v>0</v>
      </c>
      <c r="K225" s="692">
        <f t="shared" ref="K225:K228" si="141">SUM(D225+G225+I225)</f>
        <v>0</v>
      </c>
      <c r="L225" s="678">
        <f t="shared" ref="L225:L228" si="142">SUM(J225:K225)</f>
        <v>0</v>
      </c>
      <c r="M225" s="678">
        <v>368</v>
      </c>
      <c r="N225" s="678">
        <v>-368</v>
      </c>
      <c r="O225" s="678">
        <f t="shared" ref="O225:O228" si="143">SUM(L225:N225)</f>
        <v>0</v>
      </c>
    </row>
    <row r="226" spans="1:16" s="677" customFormat="1" ht="31.5" x14ac:dyDescent="0.25">
      <c r="A226" s="674"/>
      <c r="B226" s="679" t="s">
        <v>915</v>
      </c>
      <c r="C226" s="678">
        <v>1</v>
      </c>
      <c r="D226" s="678"/>
      <c r="E226" s="678"/>
      <c r="F226" s="678">
        <v>657</v>
      </c>
      <c r="G226" s="678"/>
      <c r="H226" s="678"/>
      <c r="I226" s="692"/>
      <c r="J226" s="692">
        <f t="shared" si="140"/>
        <v>658</v>
      </c>
      <c r="K226" s="692">
        <f t="shared" si="141"/>
        <v>0</v>
      </c>
      <c r="L226" s="678">
        <f t="shared" si="142"/>
        <v>658</v>
      </c>
      <c r="M226" s="678">
        <v>56</v>
      </c>
      <c r="N226" s="678"/>
      <c r="O226" s="678">
        <f t="shared" si="143"/>
        <v>714</v>
      </c>
    </row>
    <row r="227" spans="1:16" s="677" customFormat="1" x14ac:dyDescent="0.25">
      <c r="A227" s="674"/>
      <c r="B227" s="675" t="s">
        <v>132</v>
      </c>
      <c r="C227" s="678"/>
      <c r="D227" s="678"/>
      <c r="E227" s="678"/>
      <c r="F227" s="678"/>
      <c r="G227" s="678"/>
      <c r="H227" s="678"/>
      <c r="I227" s="692"/>
      <c r="J227" s="692"/>
      <c r="K227" s="692"/>
      <c r="L227" s="678"/>
      <c r="M227" s="678"/>
      <c r="N227" s="678"/>
      <c r="O227" s="678"/>
    </row>
    <row r="228" spans="1:16" s="677" customFormat="1" ht="32.25" thickBot="1" x14ac:dyDescent="0.3">
      <c r="A228" s="674"/>
      <c r="B228" s="678" t="s">
        <v>1237</v>
      </c>
      <c r="C228" s="678"/>
      <c r="D228" s="678"/>
      <c r="E228" s="678"/>
      <c r="F228" s="678"/>
      <c r="G228" s="678"/>
      <c r="H228" s="678"/>
      <c r="I228" s="692"/>
      <c r="J228" s="692">
        <f t="shared" si="140"/>
        <v>0</v>
      </c>
      <c r="K228" s="692">
        <f t="shared" si="141"/>
        <v>0</v>
      </c>
      <c r="L228" s="678">
        <f t="shared" si="142"/>
        <v>0</v>
      </c>
      <c r="M228" s="678">
        <v>-50</v>
      </c>
      <c r="N228" s="678"/>
      <c r="O228" s="678">
        <f t="shared" si="143"/>
        <v>-50</v>
      </c>
    </row>
    <row r="229" spans="1:16" ht="17.25" thickTop="1" thickBot="1" x14ac:dyDescent="0.3">
      <c r="A229" s="667"/>
      <c r="B229" s="680" t="s">
        <v>379</v>
      </c>
      <c r="C229" s="680">
        <f>+C221+C225+C228+C226</f>
        <v>9778</v>
      </c>
      <c r="D229" s="680">
        <f t="shared" ref="D229:O229" si="144">+D221+D225+D228+D226</f>
        <v>0</v>
      </c>
      <c r="E229" s="680">
        <f t="shared" si="144"/>
        <v>0</v>
      </c>
      <c r="F229" s="680">
        <f t="shared" si="144"/>
        <v>9471</v>
      </c>
      <c r="G229" s="680">
        <f t="shared" si="144"/>
        <v>0</v>
      </c>
      <c r="H229" s="680">
        <f t="shared" si="144"/>
        <v>0</v>
      </c>
      <c r="I229" s="680">
        <f t="shared" si="144"/>
        <v>0</v>
      </c>
      <c r="J229" s="680">
        <f t="shared" si="144"/>
        <v>19249</v>
      </c>
      <c r="K229" s="680">
        <f t="shared" si="144"/>
        <v>0</v>
      </c>
      <c r="L229" s="680">
        <f t="shared" si="144"/>
        <v>19249</v>
      </c>
      <c r="M229" s="680">
        <f t="shared" si="144"/>
        <v>195741</v>
      </c>
      <c r="N229" s="680">
        <f t="shared" si="144"/>
        <v>5679</v>
      </c>
      <c r="O229" s="680">
        <f t="shared" si="144"/>
        <v>220669</v>
      </c>
      <c r="P229" s="659">
        <f>O230+O231</f>
        <v>220669</v>
      </c>
    </row>
    <row r="230" spans="1:16" ht="17.25" thickTop="1" thickBot="1" x14ac:dyDescent="0.3">
      <c r="A230" s="667"/>
      <c r="B230" s="680" t="s">
        <v>378</v>
      </c>
      <c r="C230" s="680">
        <f>+C222+C225+C226</f>
        <v>9778</v>
      </c>
      <c r="D230" s="680">
        <f t="shared" ref="D230:O230" si="145">+D222+D225+D226</f>
        <v>0</v>
      </c>
      <c r="E230" s="680">
        <f t="shared" si="145"/>
        <v>0</v>
      </c>
      <c r="F230" s="680">
        <f t="shared" si="145"/>
        <v>9471</v>
      </c>
      <c r="G230" s="680">
        <f t="shared" si="145"/>
        <v>0</v>
      </c>
      <c r="H230" s="680">
        <f t="shared" si="145"/>
        <v>0</v>
      </c>
      <c r="I230" s="680">
        <f t="shared" si="145"/>
        <v>0</v>
      </c>
      <c r="J230" s="680">
        <f t="shared" si="145"/>
        <v>19249</v>
      </c>
      <c r="K230" s="680">
        <f t="shared" si="145"/>
        <v>0</v>
      </c>
      <c r="L230" s="680">
        <f t="shared" si="145"/>
        <v>19249</v>
      </c>
      <c r="M230" s="680">
        <f t="shared" si="145"/>
        <v>191824</v>
      </c>
      <c r="N230" s="680">
        <f t="shared" si="145"/>
        <v>5679</v>
      </c>
      <c r="O230" s="680">
        <f t="shared" si="145"/>
        <v>216752</v>
      </c>
    </row>
    <row r="231" spans="1:16" ht="17.25" thickTop="1" thickBot="1" x14ac:dyDescent="0.3">
      <c r="A231" s="667"/>
      <c r="B231" s="680" t="s">
        <v>377</v>
      </c>
      <c r="C231" s="680">
        <f>+C223+C228</f>
        <v>0</v>
      </c>
      <c r="D231" s="680">
        <f t="shared" ref="D231:O231" si="146">+D223+D228</f>
        <v>0</v>
      </c>
      <c r="E231" s="680">
        <f t="shared" si="146"/>
        <v>0</v>
      </c>
      <c r="F231" s="680">
        <f t="shared" si="146"/>
        <v>0</v>
      </c>
      <c r="G231" s="680">
        <f t="shared" si="146"/>
        <v>0</v>
      </c>
      <c r="H231" s="680">
        <f t="shared" si="146"/>
        <v>0</v>
      </c>
      <c r="I231" s="680">
        <f t="shared" si="146"/>
        <v>0</v>
      </c>
      <c r="J231" s="680">
        <f t="shared" si="146"/>
        <v>0</v>
      </c>
      <c r="K231" s="680">
        <f t="shared" si="146"/>
        <v>0</v>
      </c>
      <c r="L231" s="680">
        <f t="shared" si="146"/>
        <v>0</v>
      </c>
      <c r="M231" s="680">
        <f t="shared" si="146"/>
        <v>3917</v>
      </c>
      <c r="N231" s="680">
        <f t="shared" si="146"/>
        <v>0</v>
      </c>
      <c r="O231" s="680">
        <f t="shared" si="146"/>
        <v>3917</v>
      </c>
    </row>
    <row r="232" spans="1:16" ht="16.5" thickTop="1" x14ac:dyDescent="0.25">
      <c r="A232" s="682" t="s">
        <v>10</v>
      </c>
      <c r="B232" s="695" t="s">
        <v>396</v>
      </c>
      <c r="C232" s="695"/>
      <c r="D232" s="695"/>
      <c r="E232" s="695"/>
      <c r="F232" s="695"/>
      <c r="G232" s="695"/>
      <c r="H232" s="695"/>
      <c r="I232" s="695"/>
      <c r="J232" s="695"/>
      <c r="K232" s="695"/>
      <c r="L232" s="695"/>
      <c r="M232" s="695"/>
      <c r="N232" s="695"/>
      <c r="O232" s="695"/>
    </row>
    <row r="233" spans="1:16" x14ac:dyDescent="0.25">
      <c r="A233" s="671"/>
      <c r="B233" s="672" t="s">
        <v>914</v>
      </c>
      <c r="C233" s="672">
        <f t="shared" ref="C233:E233" si="147">SUM(C234:C235)</f>
        <v>12294</v>
      </c>
      <c r="D233" s="672">
        <f t="shared" si="147"/>
        <v>0</v>
      </c>
      <c r="E233" s="672">
        <f t="shared" si="147"/>
        <v>0</v>
      </c>
      <c r="F233" s="672">
        <f>SUM(F234:F235)</f>
        <v>5761</v>
      </c>
      <c r="G233" s="672"/>
      <c r="H233" s="672"/>
      <c r="I233" s="672"/>
      <c r="J233" s="690">
        <f>SUM(C233+E233+F233+H233)</f>
        <v>18055</v>
      </c>
      <c r="K233" s="690">
        <f>SUM(D233+G233+I233)</f>
        <v>0</v>
      </c>
      <c r="L233" s="673">
        <f>SUM(J233:K233)</f>
        <v>18055</v>
      </c>
      <c r="M233" s="673">
        <f>SUM(M234:M235)</f>
        <v>225239</v>
      </c>
      <c r="N233" s="673">
        <f>SUM(N234:N235)</f>
        <v>877</v>
      </c>
      <c r="O233" s="673">
        <f>SUM(L233:N233)</f>
        <v>244171</v>
      </c>
    </row>
    <row r="234" spans="1:16" s="677" customFormat="1" x14ac:dyDescent="0.25">
      <c r="A234" s="683"/>
      <c r="B234" s="684" t="s">
        <v>381</v>
      </c>
      <c r="C234" s="684">
        <v>12294</v>
      </c>
      <c r="D234" s="684"/>
      <c r="E234" s="684"/>
      <c r="F234" s="684">
        <v>5761</v>
      </c>
      <c r="G234" s="684"/>
      <c r="H234" s="684"/>
      <c r="I234" s="694"/>
      <c r="J234" s="696">
        <f>SUM(C234+E234+F234+H234)</f>
        <v>18055</v>
      </c>
      <c r="K234" s="696">
        <f>SUM(D234+G234+I234)</f>
        <v>0</v>
      </c>
      <c r="L234" s="685">
        <f>SUM(J234:K234)</f>
        <v>18055</v>
      </c>
      <c r="M234" s="685">
        <v>220783</v>
      </c>
      <c r="N234" s="696">
        <v>877</v>
      </c>
      <c r="O234" s="685">
        <f>SUM(L234:N234)</f>
        <v>239715</v>
      </c>
    </row>
    <row r="235" spans="1:16" s="677" customFormat="1" x14ac:dyDescent="0.25">
      <c r="A235" s="683"/>
      <c r="B235" s="684" t="s">
        <v>380</v>
      </c>
      <c r="C235" s="684"/>
      <c r="D235" s="684"/>
      <c r="E235" s="684"/>
      <c r="F235" s="684"/>
      <c r="G235" s="684"/>
      <c r="H235" s="684"/>
      <c r="I235" s="694"/>
      <c r="J235" s="694">
        <f>SUM(C235+E235+F235+H235)</f>
        <v>0</v>
      </c>
      <c r="K235" s="694">
        <f>SUM(D235+G235+I235)</f>
        <v>0</v>
      </c>
      <c r="L235" s="684">
        <f>SUM(J235:K235)</f>
        <v>0</v>
      </c>
      <c r="M235" s="684">
        <v>4456</v>
      </c>
      <c r="N235" s="694"/>
      <c r="O235" s="684">
        <f>SUM(L235:N235)</f>
        <v>4456</v>
      </c>
    </row>
    <row r="236" spans="1:16" s="677" customFormat="1" x14ac:dyDescent="0.25">
      <c r="A236" s="683"/>
      <c r="B236" s="684" t="s">
        <v>131</v>
      </c>
      <c r="C236" s="686"/>
      <c r="D236" s="686"/>
      <c r="E236" s="686"/>
      <c r="F236" s="686"/>
      <c r="G236" s="686"/>
      <c r="H236" s="686"/>
      <c r="I236" s="688"/>
      <c r="J236" s="688"/>
      <c r="K236" s="688"/>
      <c r="L236" s="686"/>
      <c r="M236" s="686"/>
      <c r="N236" s="688"/>
      <c r="O236" s="686"/>
    </row>
    <row r="237" spans="1:16" s="677" customFormat="1" ht="31.5" x14ac:dyDescent="0.25">
      <c r="A237" s="683"/>
      <c r="B237" s="678" t="s">
        <v>1235</v>
      </c>
      <c r="C237" s="686"/>
      <c r="D237" s="686"/>
      <c r="E237" s="686"/>
      <c r="F237" s="686"/>
      <c r="G237" s="686"/>
      <c r="H237" s="686"/>
      <c r="I237" s="688"/>
      <c r="J237" s="688">
        <f t="shared" ref="J237:J238" si="148">SUM(C237+E237+F237+H237)</f>
        <v>0</v>
      </c>
      <c r="K237" s="688">
        <f t="shared" ref="K237:K238" si="149">SUM(D237+G237+I237)</f>
        <v>0</v>
      </c>
      <c r="L237" s="686">
        <f t="shared" ref="L237:L238" si="150">SUM(J237:K237)</f>
        <v>0</v>
      </c>
      <c r="M237" s="686">
        <v>-36</v>
      </c>
      <c r="N237" s="688">
        <v>36</v>
      </c>
      <c r="O237" s="686">
        <f t="shared" ref="O237:O238" si="151">SUM(L237:N237)</f>
        <v>0</v>
      </c>
    </row>
    <row r="238" spans="1:16" s="677" customFormat="1" ht="31.5" x14ac:dyDescent="0.25">
      <c r="A238" s="683"/>
      <c r="B238" s="679" t="s">
        <v>915</v>
      </c>
      <c r="C238" s="686"/>
      <c r="D238" s="686"/>
      <c r="E238" s="686"/>
      <c r="F238" s="686">
        <v>1838</v>
      </c>
      <c r="G238" s="686"/>
      <c r="H238" s="686"/>
      <c r="I238" s="688"/>
      <c r="J238" s="688">
        <f t="shared" si="148"/>
        <v>1838</v>
      </c>
      <c r="K238" s="688">
        <f t="shared" si="149"/>
        <v>0</v>
      </c>
      <c r="L238" s="686">
        <f t="shared" si="150"/>
        <v>1838</v>
      </c>
      <c r="M238" s="686"/>
      <c r="N238" s="688"/>
      <c r="O238" s="686">
        <f t="shared" si="151"/>
        <v>1838</v>
      </c>
    </row>
    <row r="239" spans="1:16" s="677" customFormat="1" ht="16.5" thickBot="1" x14ac:dyDescent="0.3">
      <c r="A239" s="683"/>
      <c r="B239" s="684" t="s">
        <v>132</v>
      </c>
      <c r="C239" s="686"/>
      <c r="D239" s="686"/>
      <c r="E239" s="686"/>
      <c r="F239" s="686"/>
      <c r="G239" s="686"/>
      <c r="H239" s="686"/>
      <c r="I239" s="688"/>
      <c r="J239" s="688"/>
      <c r="K239" s="688"/>
      <c r="L239" s="686"/>
      <c r="M239" s="686"/>
      <c r="N239" s="688"/>
      <c r="O239" s="686"/>
    </row>
    <row r="240" spans="1:16" ht="17.25" thickTop="1" thickBot="1" x14ac:dyDescent="0.3">
      <c r="A240" s="667"/>
      <c r="B240" s="680" t="s">
        <v>379</v>
      </c>
      <c r="C240" s="680">
        <f>+C233+C237+C238</f>
        <v>12294</v>
      </c>
      <c r="D240" s="680">
        <f t="shared" ref="D240:O240" si="152">+D233+D237+D238</f>
        <v>0</v>
      </c>
      <c r="E240" s="680">
        <f t="shared" si="152"/>
        <v>0</v>
      </c>
      <c r="F240" s="680">
        <f t="shared" si="152"/>
        <v>7599</v>
      </c>
      <c r="G240" s="680">
        <f t="shared" si="152"/>
        <v>0</v>
      </c>
      <c r="H240" s="680">
        <f t="shared" si="152"/>
        <v>0</v>
      </c>
      <c r="I240" s="680">
        <f t="shared" si="152"/>
        <v>0</v>
      </c>
      <c r="J240" s="680">
        <f t="shared" si="152"/>
        <v>19893</v>
      </c>
      <c r="K240" s="680">
        <f t="shared" si="152"/>
        <v>0</v>
      </c>
      <c r="L240" s="680">
        <f t="shared" si="152"/>
        <v>19893</v>
      </c>
      <c r="M240" s="680">
        <f t="shared" si="152"/>
        <v>225203</v>
      </c>
      <c r="N240" s="680">
        <f t="shared" si="152"/>
        <v>913</v>
      </c>
      <c r="O240" s="680">
        <f t="shared" si="152"/>
        <v>246009</v>
      </c>
      <c r="P240" s="659">
        <f>O241+O242</f>
        <v>246009</v>
      </c>
    </row>
    <row r="241" spans="1:16" ht="17.25" thickTop="1" thickBot="1" x14ac:dyDescent="0.3">
      <c r="A241" s="667"/>
      <c r="B241" s="680" t="s">
        <v>378</v>
      </c>
      <c r="C241" s="680">
        <f>+C234+C237+C238</f>
        <v>12294</v>
      </c>
      <c r="D241" s="680">
        <f t="shared" ref="D241:O241" si="153">+D234+D237+D238</f>
        <v>0</v>
      </c>
      <c r="E241" s="680">
        <f t="shared" si="153"/>
        <v>0</v>
      </c>
      <c r="F241" s="680">
        <f t="shared" si="153"/>
        <v>7599</v>
      </c>
      <c r="G241" s="680">
        <f t="shared" si="153"/>
        <v>0</v>
      </c>
      <c r="H241" s="680">
        <f t="shared" si="153"/>
        <v>0</v>
      </c>
      <c r="I241" s="680">
        <f t="shared" si="153"/>
        <v>0</v>
      </c>
      <c r="J241" s="680">
        <f t="shared" si="153"/>
        <v>19893</v>
      </c>
      <c r="K241" s="680">
        <f t="shared" si="153"/>
        <v>0</v>
      </c>
      <c r="L241" s="680">
        <f t="shared" si="153"/>
        <v>19893</v>
      </c>
      <c r="M241" s="680">
        <f t="shared" si="153"/>
        <v>220747</v>
      </c>
      <c r="N241" s="680">
        <f t="shared" si="153"/>
        <v>913</v>
      </c>
      <c r="O241" s="680">
        <f t="shared" si="153"/>
        <v>241553</v>
      </c>
    </row>
    <row r="242" spans="1:16" ht="17.25" thickTop="1" thickBot="1" x14ac:dyDescent="0.3">
      <c r="A242" s="667"/>
      <c r="B242" s="680" t="s">
        <v>377</v>
      </c>
      <c r="C242" s="680">
        <f>+C235</f>
        <v>0</v>
      </c>
      <c r="D242" s="680">
        <f t="shared" ref="D242:O242" si="154">+D235</f>
        <v>0</v>
      </c>
      <c r="E242" s="680">
        <f t="shared" si="154"/>
        <v>0</v>
      </c>
      <c r="F242" s="680">
        <f t="shared" si="154"/>
        <v>0</v>
      </c>
      <c r="G242" s="680">
        <f t="shared" si="154"/>
        <v>0</v>
      </c>
      <c r="H242" s="680">
        <f t="shared" si="154"/>
        <v>0</v>
      </c>
      <c r="I242" s="680">
        <f t="shared" si="154"/>
        <v>0</v>
      </c>
      <c r="J242" s="680">
        <f t="shared" si="154"/>
        <v>0</v>
      </c>
      <c r="K242" s="680">
        <f t="shared" si="154"/>
        <v>0</v>
      </c>
      <c r="L242" s="680">
        <f t="shared" si="154"/>
        <v>0</v>
      </c>
      <c r="M242" s="680">
        <f t="shared" si="154"/>
        <v>4456</v>
      </c>
      <c r="N242" s="680">
        <f t="shared" si="154"/>
        <v>0</v>
      </c>
      <c r="O242" s="680">
        <f t="shared" si="154"/>
        <v>4456</v>
      </c>
    </row>
    <row r="243" spans="1:16" ht="17.25" thickTop="1" thickBot="1" x14ac:dyDescent="0.3">
      <c r="A243" s="667"/>
      <c r="B243" s="680" t="s">
        <v>395</v>
      </c>
      <c r="C243" s="680">
        <f t="shared" ref="C243:O243" si="155">SUM(C111+C124+C137+C148+C161+C172+C184+C195+C206+C217+C229+C240)</f>
        <v>146122</v>
      </c>
      <c r="D243" s="680">
        <f t="shared" si="155"/>
        <v>0</v>
      </c>
      <c r="E243" s="680">
        <f t="shared" si="155"/>
        <v>0</v>
      </c>
      <c r="F243" s="680">
        <f t="shared" si="155"/>
        <v>111702</v>
      </c>
      <c r="G243" s="680">
        <f t="shared" si="155"/>
        <v>0</v>
      </c>
      <c r="H243" s="680">
        <f t="shared" si="155"/>
        <v>0</v>
      </c>
      <c r="I243" s="680">
        <f t="shared" si="155"/>
        <v>0</v>
      </c>
      <c r="J243" s="680">
        <f t="shared" si="155"/>
        <v>257824</v>
      </c>
      <c r="K243" s="680">
        <f t="shared" si="155"/>
        <v>0</v>
      </c>
      <c r="L243" s="680">
        <f t="shared" si="155"/>
        <v>257824</v>
      </c>
      <c r="M243" s="680">
        <f t="shared" si="155"/>
        <v>2619755</v>
      </c>
      <c r="N243" s="680">
        <f t="shared" si="155"/>
        <v>22521</v>
      </c>
      <c r="O243" s="680">
        <f t="shared" si="155"/>
        <v>2900100</v>
      </c>
    </row>
    <row r="244" spans="1:16" ht="17.25" thickTop="1" thickBot="1" x14ac:dyDescent="0.3">
      <c r="A244" s="667"/>
      <c r="B244" s="680" t="s">
        <v>394</v>
      </c>
      <c r="C244" s="680">
        <f t="shared" ref="C244:O244" si="156">SUM(C30+C102+C243)</f>
        <v>947940</v>
      </c>
      <c r="D244" s="680">
        <f t="shared" si="156"/>
        <v>0</v>
      </c>
      <c r="E244" s="680">
        <f t="shared" si="156"/>
        <v>0</v>
      </c>
      <c r="F244" s="680">
        <f t="shared" si="156"/>
        <v>175408</v>
      </c>
      <c r="G244" s="680">
        <f t="shared" si="156"/>
        <v>0</v>
      </c>
      <c r="H244" s="680">
        <f t="shared" si="156"/>
        <v>0</v>
      </c>
      <c r="I244" s="680">
        <f t="shared" si="156"/>
        <v>0</v>
      </c>
      <c r="J244" s="680">
        <f t="shared" si="156"/>
        <v>1123348</v>
      </c>
      <c r="K244" s="680">
        <f t="shared" si="156"/>
        <v>0</v>
      </c>
      <c r="L244" s="680">
        <f t="shared" si="156"/>
        <v>1123348</v>
      </c>
      <c r="M244" s="680">
        <f t="shared" si="156"/>
        <v>3842231</v>
      </c>
      <c r="N244" s="680">
        <f t="shared" si="156"/>
        <v>135320</v>
      </c>
      <c r="O244" s="680">
        <f t="shared" si="156"/>
        <v>5100899</v>
      </c>
    </row>
    <row r="245" spans="1:16" ht="16.5" thickTop="1" x14ac:dyDescent="0.25">
      <c r="A245" s="671" t="s">
        <v>11</v>
      </c>
      <c r="B245" s="672" t="s">
        <v>743</v>
      </c>
      <c r="C245" s="672"/>
      <c r="D245" s="672"/>
      <c r="E245" s="672"/>
      <c r="F245" s="672"/>
      <c r="G245" s="672"/>
      <c r="H245" s="672"/>
      <c r="I245" s="672"/>
      <c r="J245" s="672"/>
      <c r="K245" s="672"/>
      <c r="L245" s="672"/>
      <c r="M245" s="672"/>
      <c r="N245" s="672"/>
      <c r="O245" s="672"/>
    </row>
    <row r="246" spans="1:16" x14ac:dyDescent="0.25">
      <c r="A246" s="671"/>
      <c r="B246" s="673" t="s">
        <v>347</v>
      </c>
      <c r="C246" s="673">
        <f t="shared" ref="C246:E246" si="157">SUM(C247:C248)</f>
        <v>105471</v>
      </c>
      <c r="D246" s="673">
        <f t="shared" si="157"/>
        <v>0</v>
      </c>
      <c r="E246" s="673">
        <f t="shared" si="157"/>
        <v>0</v>
      </c>
      <c r="F246" s="673">
        <f>SUM(F247:F248)</f>
        <v>321985</v>
      </c>
      <c r="G246" s="673"/>
      <c r="H246" s="673"/>
      <c r="I246" s="673"/>
      <c r="J246" s="690">
        <f>SUM(C246+E246+F246+H246)</f>
        <v>427456</v>
      </c>
      <c r="K246" s="690">
        <f>SUM(D246+G246+I246)</f>
        <v>0</v>
      </c>
      <c r="L246" s="673">
        <f>SUM(J246:K246)</f>
        <v>427456</v>
      </c>
      <c r="M246" s="673">
        <f>SUM(M247:M248)</f>
        <v>1078181</v>
      </c>
      <c r="N246" s="673">
        <f>SUM(N247:N248)</f>
        <v>11193</v>
      </c>
      <c r="O246" s="673">
        <f>SUM(L246:N246)</f>
        <v>1516830</v>
      </c>
    </row>
    <row r="247" spans="1:16" s="677" customFormat="1" x14ac:dyDescent="0.25">
      <c r="A247" s="674"/>
      <c r="B247" s="675" t="s">
        <v>381</v>
      </c>
      <c r="C247" s="675">
        <v>105471</v>
      </c>
      <c r="D247" s="675"/>
      <c r="E247" s="675"/>
      <c r="F247" s="675">
        <v>321985</v>
      </c>
      <c r="G247" s="675"/>
      <c r="H247" s="675"/>
      <c r="I247" s="693"/>
      <c r="J247" s="691">
        <f>SUM(C247+E247+F247+H247)</f>
        <v>427456</v>
      </c>
      <c r="K247" s="691">
        <f>SUM(D247+G247+I247)</f>
        <v>0</v>
      </c>
      <c r="L247" s="676">
        <f>SUM(J247:K247)</f>
        <v>427456</v>
      </c>
      <c r="M247" s="676">
        <v>1039168</v>
      </c>
      <c r="N247" s="691">
        <v>11193</v>
      </c>
      <c r="O247" s="676">
        <f>SUM(L247:N247)</f>
        <v>1477817</v>
      </c>
    </row>
    <row r="248" spans="1:16" s="677" customFormat="1" x14ac:dyDescent="0.25">
      <c r="A248" s="674"/>
      <c r="B248" s="675" t="s">
        <v>380</v>
      </c>
      <c r="C248" s="675"/>
      <c r="D248" s="675"/>
      <c r="E248" s="675"/>
      <c r="F248" s="675"/>
      <c r="G248" s="675"/>
      <c r="H248" s="675"/>
      <c r="I248" s="693"/>
      <c r="J248" s="693">
        <f>SUM(C248+E248+F248+H248)</f>
        <v>0</v>
      </c>
      <c r="K248" s="693">
        <f>SUM(D248+G248+I248)</f>
        <v>0</v>
      </c>
      <c r="L248" s="675">
        <f>SUM(J248:K248)</f>
        <v>0</v>
      </c>
      <c r="M248" s="675">
        <v>39013</v>
      </c>
      <c r="N248" s="693"/>
      <c r="O248" s="675">
        <f>SUM(L248:N248)</f>
        <v>39013</v>
      </c>
    </row>
    <row r="249" spans="1:16" s="677" customFormat="1" x14ac:dyDescent="0.25">
      <c r="A249" s="674"/>
      <c r="B249" s="675" t="s">
        <v>131</v>
      </c>
      <c r="C249" s="678"/>
      <c r="D249" s="678"/>
      <c r="E249" s="678"/>
      <c r="F249" s="678"/>
      <c r="G249" s="678"/>
      <c r="H249" s="678"/>
      <c r="I249" s="692"/>
      <c r="J249" s="692"/>
      <c r="K249" s="692"/>
      <c r="L249" s="678"/>
      <c r="M249" s="678"/>
      <c r="N249" s="692"/>
      <c r="O249" s="678"/>
    </row>
    <row r="250" spans="1:16" s="677" customFormat="1" ht="31.5" x14ac:dyDescent="0.25">
      <c r="A250" s="683"/>
      <c r="B250" s="678" t="s">
        <v>1235</v>
      </c>
      <c r="C250" s="688"/>
      <c r="D250" s="688"/>
      <c r="E250" s="688"/>
      <c r="F250" s="688"/>
      <c r="G250" s="688"/>
      <c r="H250" s="688"/>
      <c r="I250" s="688"/>
      <c r="J250" s="688">
        <f t="shared" ref="J250" si="158">SUM(C250+E250+F250+H250)</f>
        <v>0</v>
      </c>
      <c r="K250" s="688">
        <f t="shared" ref="K250" si="159">SUM(D250+G250+I250)</f>
        <v>0</v>
      </c>
      <c r="L250" s="688">
        <f t="shared" ref="L250" si="160">SUM(J250:K250)</f>
        <v>0</v>
      </c>
      <c r="M250" s="688">
        <v>2921</v>
      </c>
      <c r="N250" s="688">
        <v>-2921</v>
      </c>
      <c r="O250" s="688">
        <f t="shared" ref="O250" si="161">SUM(L250:N250)</f>
        <v>0</v>
      </c>
    </row>
    <row r="251" spans="1:16" s="677" customFormat="1" ht="16.5" thickBot="1" x14ac:dyDescent="0.3">
      <c r="A251" s="674"/>
      <c r="B251" s="675" t="s">
        <v>132</v>
      </c>
      <c r="C251" s="678"/>
      <c r="D251" s="678"/>
      <c r="E251" s="678"/>
      <c r="F251" s="678"/>
      <c r="G251" s="678"/>
      <c r="H251" s="678"/>
      <c r="I251" s="692"/>
      <c r="J251" s="692"/>
      <c r="K251" s="692"/>
      <c r="L251" s="678"/>
      <c r="M251" s="678"/>
      <c r="N251" s="692"/>
      <c r="O251" s="678"/>
    </row>
    <row r="252" spans="1:16" ht="17.25" thickTop="1" thickBot="1" x14ac:dyDescent="0.3">
      <c r="A252" s="667"/>
      <c r="B252" s="680" t="s">
        <v>379</v>
      </c>
      <c r="C252" s="680">
        <f>+C246+C250</f>
        <v>105471</v>
      </c>
      <c r="D252" s="680">
        <f t="shared" ref="D252:O252" si="162">+D246+D250</f>
        <v>0</v>
      </c>
      <c r="E252" s="680">
        <f t="shared" si="162"/>
        <v>0</v>
      </c>
      <c r="F252" s="680">
        <f t="shared" si="162"/>
        <v>321985</v>
      </c>
      <c r="G252" s="680">
        <f t="shared" si="162"/>
        <v>0</v>
      </c>
      <c r="H252" s="680">
        <f t="shared" si="162"/>
        <v>0</v>
      </c>
      <c r="I252" s="680">
        <f t="shared" si="162"/>
        <v>0</v>
      </c>
      <c r="J252" s="680">
        <f t="shared" si="162"/>
        <v>427456</v>
      </c>
      <c r="K252" s="680">
        <f t="shared" si="162"/>
        <v>0</v>
      </c>
      <c r="L252" s="680">
        <f t="shared" si="162"/>
        <v>427456</v>
      </c>
      <c r="M252" s="680">
        <f t="shared" si="162"/>
        <v>1081102</v>
      </c>
      <c r="N252" s="680">
        <f t="shared" si="162"/>
        <v>8272</v>
      </c>
      <c r="O252" s="680">
        <f t="shared" si="162"/>
        <v>1516830</v>
      </c>
      <c r="P252" s="659">
        <f>O253+O254</f>
        <v>1516830</v>
      </c>
    </row>
    <row r="253" spans="1:16" ht="17.25" thickTop="1" thickBot="1" x14ac:dyDescent="0.3">
      <c r="A253" s="667"/>
      <c r="B253" s="680" t="s">
        <v>378</v>
      </c>
      <c r="C253" s="680">
        <f>+C247+C250</f>
        <v>105471</v>
      </c>
      <c r="D253" s="680">
        <f t="shared" ref="D253:O253" si="163">+D247+D250</f>
        <v>0</v>
      </c>
      <c r="E253" s="680">
        <f t="shared" si="163"/>
        <v>0</v>
      </c>
      <c r="F253" s="680">
        <f t="shared" si="163"/>
        <v>321985</v>
      </c>
      <c r="G253" s="680">
        <f t="shared" si="163"/>
        <v>0</v>
      </c>
      <c r="H253" s="680">
        <f t="shared" si="163"/>
        <v>0</v>
      </c>
      <c r="I253" s="680">
        <f t="shared" si="163"/>
        <v>0</v>
      </c>
      <c r="J253" s="680">
        <f t="shared" si="163"/>
        <v>427456</v>
      </c>
      <c r="K253" s="680">
        <f t="shared" si="163"/>
        <v>0</v>
      </c>
      <c r="L253" s="680">
        <f t="shared" si="163"/>
        <v>427456</v>
      </c>
      <c r="M253" s="680">
        <f t="shared" si="163"/>
        <v>1042089</v>
      </c>
      <c r="N253" s="680">
        <f t="shared" si="163"/>
        <v>8272</v>
      </c>
      <c r="O253" s="680">
        <f t="shared" si="163"/>
        <v>1477817</v>
      </c>
    </row>
    <row r="254" spans="1:16" ht="17.25" thickTop="1" thickBot="1" x14ac:dyDescent="0.3">
      <c r="A254" s="667"/>
      <c r="B254" s="680" t="s">
        <v>377</v>
      </c>
      <c r="C254" s="680">
        <f>+C248</f>
        <v>0</v>
      </c>
      <c r="D254" s="680">
        <f t="shared" ref="D254:O254" si="164">+D248</f>
        <v>0</v>
      </c>
      <c r="E254" s="680">
        <f t="shared" si="164"/>
        <v>0</v>
      </c>
      <c r="F254" s="680">
        <f t="shared" si="164"/>
        <v>0</v>
      </c>
      <c r="G254" s="680">
        <f t="shared" si="164"/>
        <v>0</v>
      </c>
      <c r="H254" s="680">
        <f t="shared" si="164"/>
        <v>0</v>
      </c>
      <c r="I254" s="680">
        <f t="shared" si="164"/>
        <v>0</v>
      </c>
      <c r="J254" s="680">
        <f t="shared" si="164"/>
        <v>0</v>
      </c>
      <c r="K254" s="680">
        <f t="shared" si="164"/>
        <v>0</v>
      </c>
      <c r="L254" s="680">
        <f t="shared" si="164"/>
        <v>0</v>
      </c>
      <c r="M254" s="680">
        <f t="shared" si="164"/>
        <v>39013</v>
      </c>
      <c r="N254" s="680">
        <f t="shared" si="164"/>
        <v>0</v>
      </c>
      <c r="O254" s="680">
        <f t="shared" si="164"/>
        <v>39013</v>
      </c>
    </row>
    <row r="255" spans="1:16" ht="32.25" thickTop="1" x14ac:dyDescent="0.25">
      <c r="A255" s="671" t="s">
        <v>12</v>
      </c>
      <c r="B255" s="672" t="s">
        <v>785</v>
      </c>
      <c r="C255" s="672"/>
      <c r="D255" s="672"/>
      <c r="E255" s="672"/>
      <c r="F255" s="672"/>
      <c r="G255" s="672"/>
      <c r="H255" s="672"/>
      <c r="I255" s="672"/>
      <c r="J255" s="672"/>
      <c r="K255" s="672"/>
      <c r="L255" s="672"/>
      <c r="M255" s="672"/>
      <c r="N255" s="672"/>
      <c r="O255" s="672"/>
    </row>
    <row r="256" spans="1:16" x14ac:dyDescent="0.25">
      <c r="A256" s="671"/>
      <c r="B256" s="673" t="s">
        <v>347</v>
      </c>
      <c r="C256" s="673">
        <f t="shared" ref="C256:E256" si="165">SUM(C257:C258)</f>
        <v>17119</v>
      </c>
      <c r="D256" s="673">
        <f t="shared" si="165"/>
        <v>0</v>
      </c>
      <c r="E256" s="673">
        <f t="shared" si="165"/>
        <v>0</v>
      </c>
      <c r="F256" s="673">
        <f>SUM(F257:F258)</f>
        <v>1440</v>
      </c>
      <c r="G256" s="673"/>
      <c r="H256" s="673"/>
      <c r="I256" s="673"/>
      <c r="J256" s="690">
        <f>SUM(C256+E256+F256+H256)</f>
        <v>18559</v>
      </c>
      <c r="K256" s="690">
        <f>SUM(D256+G256+I256)</f>
        <v>0</v>
      </c>
      <c r="L256" s="673">
        <f>SUM(J256:K256)</f>
        <v>18559</v>
      </c>
      <c r="M256" s="673">
        <f>SUM(M257:M258)</f>
        <v>338873</v>
      </c>
      <c r="N256" s="673">
        <f>SUM(N257:N258)</f>
        <v>159540</v>
      </c>
      <c r="O256" s="673">
        <f>SUM(L256:N256)</f>
        <v>516972</v>
      </c>
    </row>
    <row r="257" spans="1:16" s="677" customFormat="1" x14ac:dyDescent="0.25">
      <c r="A257" s="674"/>
      <c r="B257" s="675" t="s">
        <v>381</v>
      </c>
      <c r="C257" s="675">
        <v>17119</v>
      </c>
      <c r="D257" s="675"/>
      <c r="E257" s="675"/>
      <c r="F257" s="675">
        <v>1440</v>
      </c>
      <c r="G257" s="675"/>
      <c r="H257" s="675"/>
      <c r="I257" s="693"/>
      <c r="J257" s="691">
        <f>SUM(C257+E257+F257+H257)</f>
        <v>18559</v>
      </c>
      <c r="K257" s="691">
        <f>SUM(D257+G257+I257)</f>
        <v>0</v>
      </c>
      <c r="L257" s="676">
        <f>SUM(J257:K257)</f>
        <v>18559</v>
      </c>
      <c r="M257" s="676">
        <v>330312</v>
      </c>
      <c r="N257" s="691">
        <v>159540</v>
      </c>
      <c r="O257" s="676">
        <f>SUM(L257:N257)</f>
        <v>508411</v>
      </c>
    </row>
    <row r="258" spans="1:16" s="677" customFormat="1" x14ac:dyDescent="0.25">
      <c r="A258" s="674"/>
      <c r="B258" s="675" t="s">
        <v>380</v>
      </c>
      <c r="C258" s="675"/>
      <c r="D258" s="675"/>
      <c r="E258" s="675"/>
      <c r="F258" s="675"/>
      <c r="G258" s="675"/>
      <c r="H258" s="675"/>
      <c r="I258" s="693"/>
      <c r="J258" s="693">
        <f>SUM(C258+E258+F258+H258)</f>
        <v>0</v>
      </c>
      <c r="K258" s="693">
        <f>SUM(D258+G258+I258)</f>
        <v>0</v>
      </c>
      <c r="L258" s="675">
        <f>SUM(J258:K258)</f>
        <v>0</v>
      </c>
      <c r="M258" s="675">
        <v>8561</v>
      </c>
      <c r="N258" s="693"/>
      <c r="O258" s="675">
        <f>SUM(L258:N258)</f>
        <v>8561</v>
      </c>
    </row>
    <row r="259" spans="1:16" s="677" customFormat="1" x14ac:dyDescent="0.25">
      <c r="A259" s="674"/>
      <c r="B259" s="675" t="s">
        <v>131</v>
      </c>
      <c r="C259" s="678"/>
      <c r="D259" s="678"/>
      <c r="E259" s="678"/>
      <c r="F259" s="678"/>
      <c r="G259" s="678"/>
      <c r="H259" s="678"/>
      <c r="I259" s="692"/>
      <c r="J259" s="692"/>
      <c r="K259" s="692"/>
      <c r="L259" s="678"/>
      <c r="M259" s="678"/>
      <c r="N259" s="692"/>
      <c r="O259" s="678"/>
    </row>
    <row r="260" spans="1:16" s="677" customFormat="1" ht="31.5" x14ac:dyDescent="0.25">
      <c r="A260" s="674"/>
      <c r="B260" s="678" t="s">
        <v>1235</v>
      </c>
      <c r="C260" s="678"/>
      <c r="D260" s="678"/>
      <c r="E260" s="678"/>
      <c r="F260" s="678"/>
      <c r="G260" s="678"/>
      <c r="H260" s="678"/>
      <c r="I260" s="692"/>
      <c r="J260" s="692">
        <f t="shared" ref="J260:J261" si="166">SUM(C260+E260+F260+H260)</f>
        <v>0</v>
      </c>
      <c r="K260" s="692">
        <f t="shared" ref="K260:K261" si="167">SUM(D260+G260+I260)</f>
        <v>0</v>
      </c>
      <c r="L260" s="678">
        <f t="shared" ref="L260:L261" si="168">SUM(J260:K260)</f>
        <v>0</v>
      </c>
      <c r="M260" s="678">
        <v>1505</v>
      </c>
      <c r="N260" s="692">
        <v>-1505</v>
      </c>
      <c r="O260" s="678">
        <f t="shared" ref="O260:O261" si="169">SUM(L260:N260)</f>
        <v>0</v>
      </c>
    </row>
    <row r="261" spans="1:16" s="677" customFormat="1" ht="31.5" x14ac:dyDescent="0.25">
      <c r="A261" s="674"/>
      <c r="B261" s="679" t="s">
        <v>915</v>
      </c>
      <c r="C261" s="678"/>
      <c r="D261" s="678"/>
      <c r="E261" s="678"/>
      <c r="F261" s="678">
        <v>1651</v>
      </c>
      <c r="G261" s="678"/>
      <c r="H261" s="678">
        <v>150</v>
      </c>
      <c r="I261" s="692"/>
      <c r="J261" s="692">
        <f t="shared" si="166"/>
        <v>1801</v>
      </c>
      <c r="K261" s="692">
        <f t="shared" si="167"/>
        <v>0</v>
      </c>
      <c r="L261" s="678">
        <f t="shared" si="168"/>
        <v>1801</v>
      </c>
      <c r="M261" s="678"/>
      <c r="N261" s="692"/>
      <c r="O261" s="678">
        <f t="shared" si="169"/>
        <v>1801</v>
      </c>
    </row>
    <row r="262" spans="1:16" s="677" customFormat="1" ht="16.5" thickBot="1" x14ac:dyDescent="0.3">
      <c r="A262" s="674"/>
      <c r="B262" s="675" t="s">
        <v>132</v>
      </c>
      <c r="C262" s="678"/>
      <c r="D262" s="678"/>
      <c r="E262" s="678"/>
      <c r="F262" s="678"/>
      <c r="G262" s="678"/>
      <c r="H262" s="678"/>
      <c r="I262" s="692"/>
      <c r="J262" s="692"/>
      <c r="K262" s="692"/>
      <c r="L262" s="678"/>
      <c r="M262" s="678"/>
      <c r="N262" s="692"/>
      <c r="O262" s="678"/>
    </row>
    <row r="263" spans="1:16" ht="17.25" thickTop="1" thickBot="1" x14ac:dyDescent="0.3">
      <c r="A263" s="667"/>
      <c r="B263" s="680" t="s">
        <v>379</v>
      </c>
      <c r="C263" s="680">
        <f>+C256+C260+C261</f>
        <v>17119</v>
      </c>
      <c r="D263" s="680">
        <f t="shared" ref="D263:O263" si="170">+D256+D260+D261</f>
        <v>0</v>
      </c>
      <c r="E263" s="680">
        <f t="shared" si="170"/>
        <v>0</v>
      </c>
      <c r="F263" s="680">
        <f t="shared" si="170"/>
        <v>3091</v>
      </c>
      <c r="G263" s="680">
        <f t="shared" si="170"/>
        <v>0</v>
      </c>
      <c r="H263" s="680">
        <f t="shared" si="170"/>
        <v>150</v>
      </c>
      <c r="I263" s="680">
        <f t="shared" si="170"/>
        <v>0</v>
      </c>
      <c r="J263" s="680">
        <f t="shared" si="170"/>
        <v>20360</v>
      </c>
      <c r="K263" s="680">
        <f t="shared" si="170"/>
        <v>0</v>
      </c>
      <c r="L263" s="680">
        <f t="shared" si="170"/>
        <v>20360</v>
      </c>
      <c r="M263" s="680">
        <f t="shared" si="170"/>
        <v>340378</v>
      </c>
      <c r="N263" s="680">
        <f t="shared" si="170"/>
        <v>158035</v>
      </c>
      <c r="O263" s="680">
        <f t="shared" si="170"/>
        <v>518773</v>
      </c>
      <c r="P263" s="659">
        <f>O264+O265</f>
        <v>518773</v>
      </c>
    </row>
    <row r="264" spans="1:16" ht="17.25" thickTop="1" thickBot="1" x14ac:dyDescent="0.3">
      <c r="A264" s="667"/>
      <c r="B264" s="680" t="s">
        <v>378</v>
      </c>
      <c r="C264" s="680">
        <f>+C257+C260+C261</f>
        <v>17119</v>
      </c>
      <c r="D264" s="680">
        <f t="shared" ref="D264:O264" si="171">+D257+D260+D261</f>
        <v>0</v>
      </c>
      <c r="E264" s="680">
        <f t="shared" si="171"/>
        <v>0</v>
      </c>
      <c r="F264" s="680">
        <f t="shared" si="171"/>
        <v>3091</v>
      </c>
      <c r="G264" s="680">
        <f t="shared" si="171"/>
        <v>0</v>
      </c>
      <c r="H264" s="680">
        <f t="shared" si="171"/>
        <v>150</v>
      </c>
      <c r="I264" s="680">
        <f t="shared" si="171"/>
        <v>0</v>
      </c>
      <c r="J264" s="680">
        <f t="shared" si="171"/>
        <v>20360</v>
      </c>
      <c r="K264" s="680">
        <f t="shared" si="171"/>
        <v>0</v>
      </c>
      <c r="L264" s="680">
        <f t="shared" si="171"/>
        <v>20360</v>
      </c>
      <c r="M264" s="680">
        <f t="shared" si="171"/>
        <v>331817</v>
      </c>
      <c r="N264" s="680">
        <f t="shared" si="171"/>
        <v>158035</v>
      </c>
      <c r="O264" s="680">
        <f t="shared" si="171"/>
        <v>510212</v>
      </c>
    </row>
    <row r="265" spans="1:16" ht="17.25" thickTop="1" thickBot="1" x14ac:dyDescent="0.3">
      <c r="A265" s="667"/>
      <c r="B265" s="680" t="s">
        <v>377</v>
      </c>
      <c r="C265" s="680">
        <f>+C258</f>
        <v>0</v>
      </c>
      <c r="D265" s="680">
        <f t="shared" ref="D265:O265" si="172">+D258</f>
        <v>0</v>
      </c>
      <c r="E265" s="680">
        <f t="shared" si="172"/>
        <v>0</v>
      </c>
      <c r="F265" s="680">
        <f t="shared" si="172"/>
        <v>0</v>
      </c>
      <c r="G265" s="680">
        <f t="shared" si="172"/>
        <v>0</v>
      </c>
      <c r="H265" s="680">
        <f t="shared" si="172"/>
        <v>0</v>
      </c>
      <c r="I265" s="680">
        <f t="shared" si="172"/>
        <v>0</v>
      </c>
      <c r="J265" s="680">
        <f t="shared" si="172"/>
        <v>0</v>
      </c>
      <c r="K265" s="680">
        <f t="shared" si="172"/>
        <v>0</v>
      </c>
      <c r="L265" s="680">
        <f t="shared" si="172"/>
        <v>0</v>
      </c>
      <c r="M265" s="680">
        <f t="shared" si="172"/>
        <v>8561</v>
      </c>
      <c r="N265" s="680">
        <f t="shared" si="172"/>
        <v>0</v>
      </c>
      <c r="O265" s="680">
        <f t="shared" si="172"/>
        <v>8561</v>
      </c>
    </row>
    <row r="266" spans="1:16" ht="16.5" thickTop="1" x14ac:dyDescent="0.25">
      <c r="A266" s="671" t="s">
        <v>13</v>
      </c>
      <c r="B266" s="672" t="s">
        <v>376</v>
      </c>
      <c r="C266" s="672"/>
      <c r="D266" s="672"/>
      <c r="E266" s="672"/>
      <c r="F266" s="672"/>
      <c r="G266" s="672"/>
      <c r="H266" s="672"/>
      <c r="I266" s="672"/>
      <c r="J266" s="672"/>
      <c r="K266" s="672"/>
      <c r="L266" s="672"/>
      <c r="M266" s="672"/>
      <c r="N266" s="672"/>
      <c r="O266" s="672"/>
    </row>
    <row r="267" spans="1:16" x14ac:dyDescent="0.25">
      <c r="A267" s="671"/>
      <c r="B267" s="673" t="s">
        <v>347</v>
      </c>
      <c r="C267" s="673">
        <f t="shared" ref="C267:E267" si="173">SUM(C268:C269)</f>
        <v>20617</v>
      </c>
      <c r="D267" s="673">
        <f t="shared" si="173"/>
        <v>0</v>
      </c>
      <c r="E267" s="673">
        <f t="shared" si="173"/>
        <v>0</v>
      </c>
      <c r="F267" s="673">
        <f>SUM(F268:F269)</f>
        <v>9200</v>
      </c>
      <c r="G267" s="673"/>
      <c r="H267" s="673">
        <v>5259</v>
      </c>
      <c r="I267" s="673">
        <v>2067</v>
      </c>
      <c r="J267" s="673">
        <f>SUM(C267+E267+F267+H267)</f>
        <v>35076</v>
      </c>
      <c r="K267" s="673">
        <f>SUM(D267+G267+I267)</f>
        <v>2067</v>
      </c>
      <c r="L267" s="673">
        <f>SUM(J267:K267)</f>
        <v>37143</v>
      </c>
      <c r="M267" s="673">
        <f>SUM(M268:M269)</f>
        <v>310844</v>
      </c>
      <c r="N267" s="673">
        <f>SUM(N268:N269)</f>
        <v>92242</v>
      </c>
      <c r="O267" s="673">
        <f>SUM(L267:N267)</f>
        <v>440229</v>
      </c>
    </row>
    <row r="268" spans="1:16" s="677" customFormat="1" x14ac:dyDescent="0.25">
      <c r="A268" s="674"/>
      <c r="B268" s="675" t="s">
        <v>381</v>
      </c>
      <c r="C268" s="675">
        <v>20617</v>
      </c>
      <c r="D268" s="675"/>
      <c r="E268" s="675"/>
      <c r="F268" s="675">
        <v>9200</v>
      </c>
      <c r="G268" s="675"/>
      <c r="H268" s="675">
        <v>5259</v>
      </c>
      <c r="I268" s="675">
        <v>2067</v>
      </c>
      <c r="J268" s="676">
        <f>SUM(C268+E268+F268+H268)</f>
        <v>35076</v>
      </c>
      <c r="K268" s="676">
        <f>SUM(D268+G268+I268)</f>
        <v>2067</v>
      </c>
      <c r="L268" s="676">
        <f>SUM(J268:K268)</f>
        <v>37143</v>
      </c>
      <c r="M268" s="676">
        <v>303397</v>
      </c>
      <c r="N268" s="676">
        <v>92242</v>
      </c>
      <c r="O268" s="676">
        <f>SUM(L268:N268)</f>
        <v>432782</v>
      </c>
    </row>
    <row r="269" spans="1:16" s="677" customFormat="1" x14ac:dyDescent="0.25">
      <c r="A269" s="674"/>
      <c r="B269" s="675" t="s">
        <v>380</v>
      </c>
      <c r="C269" s="675"/>
      <c r="D269" s="675"/>
      <c r="E269" s="675"/>
      <c r="F269" s="675"/>
      <c r="G269" s="675"/>
      <c r="H269" s="675"/>
      <c r="I269" s="675"/>
      <c r="J269" s="675">
        <f>SUM(C269+E269+F269+H269)</f>
        <v>0</v>
      </c>
      <c r="K269" s="675">
        <f>SUM(D269+G269+I269)</f>
        <v>0</v>
      </c>
      <c r="L269" s="675">
        <f>SUM(J269:K269)</f>
        <v>0</v>
      </c>
      <c r="M269" s="675">
        <v>7447</v>
      </c>
      <c r="N269" s="675"/>
      <c r="O269" s="675">
        <f>SUM(L269:N269)</f>
        <v>7447</v>
      </c>
    </row>
    <row r="270" spans="1:16" s="677" customFormat="1" x14ac:dyDescent="0.25">
      <c r="A270" s="683"/>
      <c r="B270" s="694" t="s">
        <v>131</v>
      </c>
      <c r="C270" s="688"/>
      <c r="D270" s="688"/>
      <c r="E270" s="688"/>
      <c r="F270" s="688"/>
      <c r="G270" s="688"/>
      <c r="H270" s="688"/>
      <c r="I270" s="688"/>
      <c r="J270" s="688"/>
      <c r="K270" s="688"/>
      <c r="L270" s="688"/>
      <c r="M270" s="688"/>
      <c r="N270" s="688"/>
      <c r="O270" s="688"/>
    </row>
    <row r="271" spans="1:16" s="677" customFormat="1" ht="31.5" x14ac:dyDescent="0.25">
      <c r="A271" s="674"/>
      <c r="B271" s="678" t="s">
        <v>1235</v>
      </c>
      <c r="C271" s="678"/>
      <c r="D271" s="678"/>
      <c r="E271" s="678"/>
      <c r="F271" s="678"/>
      <c r="G271" s="678"/>
      <c r="H271" s="678"/>
      <c r="I271" s="678"/>
      <c r="J271" s="678">
        <f t="shared" ref="J271:J275" si="174">SUM(C271+E271+F271+H271)</f>
        <v>0</v>
      </c>
      <c r="K271" s="678">
        <f t="shared" ref="K271:K275" si="175">SUM(D271+G271+I271)</f>
        <v>0</v>
      </c>
      <c r="L271" s="678">
        <f t="shared" ref="L271:L275" si="176">SUM(J271:K271)</f>
        <v>0</v>
      </c>
      <c r="M271" s="678">
        <v>-1302</v>
      </c>
      <c r="N271" s="678">
        <v>1302</v>
      </c>
      <c r="O271" s="678">
        <f t="shared" ref="O271:O275" si="177">SUM(L271:N271)</f>
        <v>0</v>
      </c>
    </row>
    <row r="272" spans="1:16" s="677" customFormat="1" ht="47.25" x14ac:dyDescent="0.25">
      <c r="A272" s="674"/>
      <c r="B272" s="679" t="s">
        <v>1215</v>
      </c>
      <c r="C272" s="678"/>
      <c r="D272" s="678"/>
      <c r="E272" s="678"/>
      <c r="F272" s="678"/>
      <c r="G272" s="678"/>
      <c r="H272" s="678"/>
      <c r="I272" s="678"/>
      <c r="J272" s="678">
        <f t="shared" si="174"/>
        <v>0</v>
      </c>
      <c r="K272" s="678">
        <f t="shared" si="175"/>
        <v>0</v>
      </c>
      <c r="L272" s="678">
        <f t="shared" si="176"/>
        <v>0</v>
      </c>
      <c r="M272" s="678">
        <v>1570</v>
      </c>
      <c r="N272" s="678"/>
      <c r="O272" s="678">
        <f t="shared" si="177"/>
        <v>1570</v>
      </c>
    </row>
    <row r="273" spans="1:16" s="677" customFormat="1" ht="31.5" x14ac:dyDescent="0.25">
      <c r="A273" s="674"/>
      <c r="B273" s="679" t="s">
        <v>915</v>
      </c>
      <c r="C273" s="678"/>
      <c r="D273" s="678"/>
      <c r="E273" s="678"/>
      <c r="F273" s="678">
        <v>310</v>
      </c>
      <c r="G273" s="678"/>
      <c r="H273" s="678"/>
      <c r="I273" s="678"/>
      <c r="J273" s="678">
        <f t="shared" si="174"/>
        <v>310</v>
      </c>
      <c r="K273" s="678">
        <f t="shared" si="175"/>
        <v>0</v>
      </c>
      <c r="L273" s="678">
        <f t="shared" si="176"/>
        <v>310</v>
      </c>
      <c r="M273" s="678">
        <v>7897</v>
      </c>
      <c r="N273" s="678"/>
      <c r="O273" s="678">
        <f t="shared" si="177"/>
        <v>8207</v>
      </c>
    </row>
    <row r="274" spans="1:16" s="677" customFormat="1" x14ac:dyDescent="0.25">
      <c r="A274" s="674"/>
      <c r="B274" s="675" t="s">
        <v>132</v>
      </c>
      <c r="C274" s="678"/>
      <c r="D274" s="678"/>
      <c r="E274" s="678"/>
      <c r="F274" s="678"/>
      <c r="G274" s="678"/>
      <c r="H274" s="678"/>
      <c r="I274" s="678"/>
      <c r="J274" s="678"/>
      <c r="K274" s="678"/>
      <c r="L274" s="678"/>
      <c r="M274" s="678"/>
      <c r="N274" s="678"/>
      <c r="O274" s="678"/>
    </row>
    <row r="275" spans="1:16" s="677" customFormat="1" ht="32.25" thickBot="1" x14ac:dyDescent="0.3">
      <c r="A275" s="674"/>
      <c r="B275" s="678" t="s">
        <v>1043</v>
      </c>
      <c r="C275" s="678"/>
      <c r="D275" s="678"/>
      <c r="E275" s="678"/>
      <c r="F275" s="678"/>
      <c r="G275" s="678"/>
      <c r="H275" s="678"/>
      <c r="I275" s="678"/>
      <c r="J275" s="678">
        <f t="shared" si="174"/>
        <v>0</v>
      </c>
      <c r="K275" s="678">
        <f t="shared" si="175"/>
        <v>0</v>
      </c>
      <c r="L275" s="678">
        <f t="shared" si="176"/>
        <v>0</v>
      </c>
      <c r="M275" s="678">
        <v>4</v>
      </c>
      <c r="N275" s="678"/>
      <c r="O275" s="678">
        <f t="shared" si="177"/>
        <v>4</v>
      </c>
    </row>
    <row r="276" spans="1:16" ht="17.25" thickTop="1" thickBot="1" x14ac:dyDescent="0.3">
      <c r="A276" s="667"/>
      <c r="B276" s="680" t="s">
        <v>379</v>
      </c>
      <c r="C276" s="680">
        <f>+C267+C271+C275+C272+C273</f>
        <v>20617</v>
      </c>
      <c r="D276" s="680">
        <f t="shared" ref="D276:O276" si="178">+D267+D271+D275+D272+D273</f>
        <v>0</v>
      </c>
      <c r="E276" s="680">
        <f t="shared" si="178"/>
        <v>0</v>
      </c>
      <c r="F276" s="680">
        <f t="shared" si="178"/>
        <v>9510</v>
      </c>
      <c r="G276" s="680">
        <f t="shared" si="178"/>
        <v>0</v>
      </c>
      <c r="H276" s="680">
        <f t="shared" si="178"/>
        <v>5259</v>
      </c>
      <c r="I276" s="680">
        <f t="shared" si="178"/>
        <v>2067</v>
      </c>
      <c r="J276" s="680">
        <f t="shared" si="178"/>
        <v>35386</v>
      </c>
      <c r="K276" s="680">
        <f t="shared" si="178"/>
        <v>2067</v>
      </c>
      <c r="L276" s="680">
        <f t="shared" si="178"/>
        <v>37453</v>
      </c>
      <c r="M276" s="680">
        <f t="shared" si="178"/>
        <v>319013</v>
      </c>
      <c r="N276" s="680">
        <f t="shared" si="178"/>
        <v>93544</v>
      </c>
      <c r="O276" s="680">
        <f t="shared" si="178"/>
        <v>450010</v>
      </c>
      <c r="P276" s="659">
        <f>O277+O278</f>
        <v>450010</v>
      </c>
    </row>
    <row r="277" spans="1:16" ht="17.25" thickTop="1" thickBot="1" x14ac:dyDescent="0.3">
      <c r="A277" s="667"/>
      <c r="B277" s="680" t="s">
        <v>378</v>
      </c>
      <c r="C277" s="680">
        <f>+C268+C271+C272+C273</f>
        <v>20617</v>
      </c>
      <c r="D277" s="680">
        <f t="shared" ref="D277:O277" si="179">+D268+D271+D272+D273</f>
        <v>0</v>
      </c>
      <c r="E277" s="680">
        <f t="shared" si="179"/>
        <v>0</v>
      </c>
      <c r="F277" s="680">
        <f t="shared" si="179"/>
        <v>9510</v>
      </c>
      <c r="G277" s="680">
        <f t="shared" si="179"/>
        <v>0</v>
      </c>
      <c r="H277" s="680">
        <f t="shared" si="179"/>
        <v>5259</v>
      </c>
      <c r="I277" s="680">
        <f t="shared" si="179"/>
        <v>2067</v>
      </c>
      <c r="J277" s="680">
        <f t="shared" si="179"/>
        <v>35386</v>
      </c>
      <c r="K277" s="680">
        <f t="shared" si="179"/>
        <v>2067</v>
      </c>
      <c r="L277" s="680">
        <f t="shared" si="179"/>
        <v>37453</v>
      </c>
      <c r="M277" s="680">
        <f t="shared" si="179"/>
        <v>311562</v>
      </c>
      <c r="N277" s="680">
        <f t="shared" si="179"/>
        <v>93544</v>
      </c>
      <c r="O277" s="680">
        <f t="shared" si="179"/>
        <v>442559</v>
      </c>
    </row>
    <row r="278" spans="1:16" ht="17.25" thickTop="1" thickBot="1" x14ac:dyDescent="0.3">
      <c r="A278" s="667"/>
      <c r="B278" s="680" t="s">
        <v>377</v>
      </c>
      <c r="C278" s="680">
        <f>+C269+C275</f>
        <v>0</v>
      </c>
      <c r="D278" s="680">
        <f t="shared" ref="D278:O278" si="180">+D269+D275</f>
        <v>0</v>
      </c>
      <c r="E278" s="680">
        <f t="shared" si="180"/>
        <v>0</v>
      </c>
      <c r="F278" s="680">
        <f t="shared" si="180"/>
        <v>0</v>
      </c>
      <c r="G278" s="680">
        <f t="shared" si="180"/>
        <v>0</v>
      </c>
      <c r="H278" s="680">
        <f t="shared" si="180"/>
        <v>0</v>
      </c>
      <c r="I278" s="680">
        <f t="shared" si="180"/>
        <v>0</v>
      </c>
      <c r="J278" s="680">
        <f t="shared" si="180"/>
        <v>0</v>
      </c>
      <c r="K278" s="680">
        <f t="shared" si="180"/>
        <v>0</v>
      </c>
      <c r="L278" s="680">
        <f t="shared" si="180"/>
        <v>0</v>
      </c>
      <c r="M278" s="680">
        <f t="shared" si="180"/>
        <v>7451</v>
      </c>
      <c r="N278" s="680">
        <f t="shared" si="180"/>
        <v>0</v>
      </c>
      <c r="O278" s="680">
        <f t="shared" si="180"/>
        <v>7451</v>
      </c>
    </row>
    <row r="279" spans="1:16" ht="17.25" thickTop="1" thickBot="1" x14ac:dyDescent="0.3">
      <c r="A279" s="667"/>
      <c r="B279" s="680" t="s">
        <v>393</v>
      </c>
      <c r="C279" s="680">
        <f t="shared" ref="C279:O279" si="181">SUM(C252+C263+C276)</f>
        <v>143207</v>
      </c>
      <c r="D279" s="680">
        <f t="shared" si="181"/>
        <v>0</v>
      </c>
      <c r="E279" s="680">
        <f t="shared" si="181"/>
        <v>0</v>
      </c>
      <c r="F279" s="680">
        <f t="shared" si="181"/>
        <v>334586</v>
      </c>
      <c r="G279" s="680">
        <f t="shared" si="181"/>
        <v>0</v>
      </c>
      <c r="H279" s="680">
        <f t="shared" si="181"/>
        <v>5409</v>
      </c>
      <c r="I279" s="680">
        <f t="shared" si="181"/>
        <v>2067</v>
      </c>
      <c r="J279" s="680">
        <f t="shared" si="181"/>
        <v>483202</v>
      </c>
      <c r="K279" s="680">
        <f t="shared" si="181"/>
        <v>2067</v>
      </c>
      <c r="L279" s="680">
        <f t="shared" si="181"/>
        <v>485269</v>
      </c>
      <c r="M279" s="680">
        <f t="shared" si="181"/>
        <v>1740493</v>
      </c>
      <c r="N279" s="680">
        <f t="shared" si="181"/>
        <v>259851</v>
      </c>
      <c r="O279" s="680">
        <f t="shared" si="181"/>
        <v>2485613</v>
      </c>
    </row>
    <row r="280" spans="1:16" ht="16.5" thickTop="1" x14ac:dyDescent="0.25">
      <c r="A280" s="697" t="s">
        <v>14</v>
      </c>
      <c r="B280" s="698" t="s">
        <v>392</v>
      </c>
      <c r="C280" s="698"/>
      <c r="D280" s="698"/>
      <c r="E280" s="698"/>
      <c r="F280" s="698"/>
      <c r="G280" s="698"/>
      <c r="H280" s="698"/>
      <c r="I280" s="698"/>
      <c r="J280" s="698"/>
      <c r="K280" s="698"/>
      <c r="L280" s="698"/>
      <c r="M280" s="698"/>
      <c r="N280" s="698"/>
      <c r="O280" s="698"/>
    </row>
    <row r="281" spans="1:16" x14ac:dyDescent="0.25">
      <c r="A281" s="671"/>
      <c r="B281" s="699" t="s">
        <v>347</v>
      </c>
      <c r="C281" s="699">
        <f t="shared" ref="C281:E281" si="182">SUM(C282:C283)</f>
        <v>23559</v>
      </c>
      <c r="D281" s="699">
        <f t="shared" si="182"/>
        <v>0</v>
      </c>
      <c r="E281" s="699">
        <f t="shared" si="182"/>
        <v>0</v>
      </c>
      <c r="F281" s="699">
        <f>SUM(F282:F283)</f>
        <v>406537</v>
      </c>
      <c r="G281" s="699"/>
      <c r="H281" s="699"/>
      <c r="I281" s="699"/>
      <c r="J281" s="673">
        <f>SUM(C281+E281+F281+H281)</f>
        <v>430096</v>
      </c>
      <c r="K281" s="673">
        <f>SUM(D281+G281+I281)</f>
        <v>0</v>
      </c>
      <c r="L281" s="673">
        <f>SUM(J281:K281)</f>
        <v>430096</v>
      </c>
      <c r="M281" s="673">
        <f>SUM(M282:M283)</f>
        <v>791979</v>
      </c>
      <c r="N281" s="673">
        <f>SUM(N282:N283)</f>
        <v>19086</v>
      </c>
      <c r="O281" s="673">
        <f>SUM(L281:N281)</f>
        <v>1241161</v>
      </c>
    </row>
    <row r="282" spans="1:16" s="677" customFormat="1" x14ac:dyDescent="0.25">
      <c r="A282" s="674"/>
      <c r="B282" s="675" t="s">
        <v>381</v>
      </c>
      <c r="C282" s="675">
        <v>23559</v>
      </c>
      <c r="D282" s="675"/>
      <c r="E282" s="675"/>
      <c r="F282" s="675">
        <v>406537</v>
      </c>
      <c r="G282" s="675"/>
      <c r="H282" s="675"/>
      <c r="I282" s="675"/>
      <c r="J282" s="676">
        <f>SUM(C282+E282+F282+H282)</f>
        <v>430096</v>
      </c>
      <c r="K282" s="676">
        <f>SUM(D282+G282+I282)</f>
        <v>0</v>
      </c>
      <c r="L282" s="676">
        <f>SUM(J282:K282)</f>
        <v>430096</v>
      </c>
      <c r="M282" s="676">
        <v>787520</v>
      </c>
      <c r="N282" s="676">
        <v>19086</v>
      </c>
      <c r="O282" s="676">
        <f>SUM(L282:N282)</f>
        <v>1236702</v>
      </c>
    </row>
    <row r="283" spans="1:16" s="677" customFormat="1" x14ac:dyDescent="0.25">
      <c r="A283" s="674"/>
      <c r="B283" s="675" t="s">
        <v>380</v>
      </c>
      <c r="C283" s="675"/>
      <c r="D283" s="675"/>
      <c r="E283" s="675"/>
      <c r="F283" s="675"/>
      <c r="G283" s="675"/>
      <c r="H283" s="675"/>
      <c r="I283" s="675"/>
      <c r="J283" s="675">
        <f>SUM(C283+E283+F283+H283)</f>
        <v>0</v>
      </c>
      <c r="K283" s="675">
        <f>SUM(D283+G283+I283)</f>
        <v>0</v>
      </c>
      <c r="L283" s="675">
        <f>SUM(J283:K283)</f>
        <v>0</v>
      </c>
      <c r="M283" s="675">
        <v>4459</v>
      </c>
      <c r="N283" s="675"/>
      <c r="O283" s="675">
        <f>SUM(L283:N283)</f>
        <v>4459</v>
      </c>
    </row>
    <row r="284" spans="1:16" x14ac:dyDescent="0.25">
      <c r="A284" s="671"/>
      <c r="B284" s="675" t="s">
        <v>131</v>
      </c>
      <c r="C284" s="675"/>
      <c r="D284" s="675"/>
      <c r="E284" s="675"/>
      <c r="F284" s="675"/>
      <c r="G284" s="675"/>
      <c r="H284" s="675"/>
      <c r="I284" s="675"/>
      <c r="J284" s="673"/>
      <c r="K284" s="673"/>
      <c r="L284" s="673"/>
      <c r="M284" s="673"/>
      <c r="N284" s="673"/>
      <c r="O284" s="673"/>
    </row>
    <row r="285" spans="1:16" ht="31.5" x14ac:dyDescent="0.25">
      <c r="A285" s="671"/>
      <c r="B285" s="678" t="s">
        <v>1235</v>
      </c>
      <c r="C285" s="673"/>
      <c r="D285" s="673"/>
      <c r="E285" s="673"/>
      <c r="F285" s="673"/>
      <c r="G285" s="673"/>
      <c r="H285" s="673"/>
      <c r="I285" s="673"/>
      <c r="J285" s="673">
        <f t="shared" ref="J285:J287" si="183">SUM(C285+E285+F285+H285)</f>
        <v>0</v>
      </c>
      <c r="K285" s="673">
        <f t="shared" ref="K285:K287" si="184">SUM(D285+G285+I285)</f>
        <v>0</v>
      </c>
      <c r="L285" s="673">
        <f t="shared" ref="L285:L287" si="185">SUM(J285:K285)</f>
        <v>0</v>
      </c>
      <c r="M285" s="673">
        <v>-2</v>
      </c>
      <c r="N285" s="673">
        <v>2</v>
      </c>
      <c r="O285" s="673">
        <f t="shared" ref="O285:O287" si="186">SUM(L285:N285)</f>
        <v>0</v>
      </c>
    </row>
    <row r="286" spans="1:16" ht="31.5" x14ac:dyDescent="0.25">
      <c r="A286" s="671"/>
      <c r="B286" s="678" t="s">
        <v>1236</v>
      </c>
      <c r="C286" s="673"/>
      <c r="D286" s="673"/>
      <c r="E286" s="673"/>
      <c r="F286" s="673"/>
      <c r="G286" s="673"/>
      <c r="H286" s="673"/>
      <c r="I286" s="673"/>
      <c r="J286" s="673">
        <f t="shared" si="183"/>
        <v>0</v>
      </c>
      <c r="K286" s="673">
        <f t="shared" si="184"/>
        <v>0</v>
      </c>
      <c r="L286" s="673">
        <f t="shared" si="185"/>
        <v>0</v>
      </c>
      <c r="M286" s="673">
        <v>-35</v>
      </c>
      <c r="N286" s="673"/>
      <c r="O286" s="673">
        <f t="shared" si="186"/>
        <v>-35</v>
      </c>
    </row>
    <row r="287" spans="1:16" ht="31.5" x14ac:dyDescent="0.25">
      <c r="A287" s="671"/>
      <c r="B287" s="679" t="s">
        <v>915</v>
      </c>
      <c r="C287" s="673"/>
      <c r="D287" s="673"/>
      <c r="E287" s="673"/>
      <c r="F287" s="673"/>
      <c r="G287" s="673"/>
      <c r="H287" s="673"/>
      <c r="I287" s="673"/>
      <c r="J287" s="673">
        <f t="shared" si="183"/>
        <v>0</v>
      </c>
      <c r="K287" s="673">
        <f t="shared" si="184"/>
        <v>0</v>
      </c>
      <c r="L287" s="673">
        <f t="shared" si="185"/>
        <v>0</v>
      </c>
      <c r="M287" s="673">
        <f>9645+1</f>
        <v>9646</v>
      </c>
      <c r="N287" s="673"/>
      <c r="O287" s="673">
        <f t="shared" si="186"/>
        <v>9646</v>
      </c>
    </row>
    <row r="288" spans="1:16" ht="16.5" thickBot="1" x14ac:dyDescent="0.3">
      <c r="A288" s="671"/>
      <c r="B288" s="675" t="s">
        <v>132</v>
      </c>
      <c r="C288" s="673"/>
      <c r="D288" s="673"/>
      <c r="E288" s="673"/>
      <c r="F288" s="673"/>
      <c r="G288" s="673"/>
      <c r="H288" s="673"/>
      <c r="I288" s="673"/>
      <c r="J288" s="673"/>
      <c r="K288" s="673"/>
      <c r="L288" s="673"/>
      <c r="M288" s="673"/>
      <c r="N288" s="673"/>
      <c r="O288" s="673"/>
    </row>
    <row r="289" spans="1:16" ht="17.25" thickTop="1" thickBot="1" x14ac:dyDescent="0.3">
      <c r="A289" s="667"/>
      <c r="B289" s="680" t="s">
        <v>379</v>
      </c>
      <c r="C289" s="680">
        <f>+C281+C285+C286+C287</f>
        <v>23559</v>
      </c>
      <c r="D289" s="680">
        <f t="shared" ref="D289:O289" si="187">+D281+D285+D286+D287</f>
        <v>0</v>
      </c>
      <c r="E289" s="680">
        <f t="shared" si="187"/>
        <v>0</v>
      </c>
      <c r="F289" s="680">
        <f t="shared" si="187"/>
        <v>406537</v>
      </c>
      <c r="G289" s="680">
        <f t="shared" si="187"/>
        <v>0</v>
      </c>
      <c r="H289" s="680">
        <f t="shared" si="187"/>
        <v>0</v>
      </c>
      <c r="I289" s="680">
        <f t="shared" si="187"/>
        <v>0</v>
      </c>
      <c r="J289" s="680">
        <f t="shared" si="187"/>
        <v>430096</v>
      </c>
      <c r="K289" s="680">
        <f t="shared" si="187"/>
        <v>0</v>
      </c>
      <c r="L289" s="680">
        <f t="shared" si="187"/>
        <v>430096</v>
      </c>
      <c r="M289" s="680">
        <f t="shared" si="187"/>
        <v>801588</v>
      </c>
      <c r="N289" s="680">
        <f t="shared" si="187"/>
        <v>19088</v>
      </c>
      <c r="O289" s="680">
        <f t="shared" si="187"/>
        <v>1250772</v>
      </c>
      <c r="P289" s="659">
        <f>O290+O291</f>
        <v>1250772</v>
      </c>
    </row>
    <row r="290" spans="1:16" ht="17.25" thickTop="1" thickBot="1" x14ac:dyDescent="0.3">
      <c r="A290" s="667"/>
      <c r="B290" s="680" t="s">
        <v>378</v>
      </c>
      <c r="C290" s="680">
        <f t="shared" ref="C290:O290" si="188">+C282+C285+C286+C287</f>
        <v>23559</v>
      </c>
      <c r="D290" s="680">
        <f t="shared" si="188"/>
        <v>0</v>
      </c>
      <c r="E290" s="680">
        <f t="shared" si="188"/>
        <v>0</v>
      </c>
      <c r="F290" s="680">
        <f t="shared" si="188"/>
        <v>406537</v>
      </c>
      <c r="G290" s="680">
        <f t="shared" si="188"/>
        <v>0</v>
      </c>
      <c r="H290" s="680">
        <f t="shared" si="188"/>
        <v>0</v>
      </c>
      <c r="I290" s="680">
        <f t="shared" si="188"/>
        <v>0</v>
      </c>
      <c r="J290" s="680">
        <f t="shared" si="188"/>
        <v>430096</v>
      </c>
      <c r="K290" s="680">
        <f t="shared" si="188"/>
        <v>0</v>
      </c>
      <c r="L290" s="680">
        <f t="shared" si="188"/>
        <v>430096</v>
      </c>
      <c r="M290" s="680">
        <f t="shared" si="188"/>
        <v>797129</v>
      </c>
      <c r="N290" s="680">
        <f t="shared" si="188"/>
        <v>19088</v>
      </c>
      <c r="O290" s="680">
        <f t="shared" si="188"/>
        <v>1246313</v>
      </c>
    </row>
    <row r="291" spans="1:16" ht="17.25" thickTop="1" thickBot="1" x14ac:dyDescent="0.3">
      <c r="A291" s="667"/>
      <c r="B291" s="680" t="s">
        <v>377</v>
      </c>
      <c r="C291" s="680">
        <f>+C283</f>
        <v>0</v>
      </c>
      <c r="D291" s="680">
        <f t="shared" ref="D291:O291" si="189">+D283</f>
        <v>0</v>
      </c>
      <c r="E291" s="680">
        <f t="shared" si="189"/>
        <v>0</v>
      </c>
      <c r="F291" s="680">
        <f t="shared" si="189"/>
        <v>0</v>
      </c>
      <c r="G291" s="680">
        <f t="shared" si="189"/>
        <v>0</v>
      </c>
      <c r="H291" s="680">
        <f t="shared" si="189"/>
        <v>0</v>
      </c>
      <c r="I291" s="680">
        <f t="shared" si="189"/>
        <v>0</v>
      </c>
      <c r="J291" s="680">
        <f t="shared" si="189"/>
        <v>0</v>
      </c>
      <c r="K291" s="680">
        <f t="shared" si="189"/>
        <v>0</v>
      </c>
      <c r="L291" s="680">
        <f t="shared" si="189"/>
        <v>0</v>
      </c>
      <c r="M291" s="680">
        <f t="shared" si="189"/>
        <v>4459</v>
      </c>
      <c r="N291" s="680">
        <f t="shared" si="189"/>
        <v>0</v>
      </c>
      <c r="O291" s="680">
        <f t="shared" si="189"/>
        <v>4459</v>
      </c>
    </row>
    <row r="292" spans="1:16" ht="16.5" thickTop="1" x14ac:dyDescent="0.25">
      <c r="A292" s="671" t="s">
        <v>15</v>
      </c>
      <c r="B292" s="681" t="s">
        <v>391</v>
      </c>
      <c r="C292" s="681"/>
      <c r="D292" s="681"/>
      <c r="E292" s="681"/>
      <c r="F292" s="681"/>
      <c r="G292" s="681"/>
      <c r="H292" s="681"/>
      <c r="I292" s="681"/>
      <c r="J292" s="681"/>
      <c r="K292" s="681"/>
      <c r="L292" s="681"/>
      <c r="M292" s="681"/>
      <c r="N292" s="681"/>
      <c r="O292" s="681"/>
    </row>
    <row r="293" spans="1:16" x14ac:dyDescent="0.25">
      <c r="A293" s="671"/>
      <c r="B293" s="673" t="s">
        <v>347</v>
      </c>
      <c r="C293" s="673">
        <f t="shared" ref="C293:E293" si="190">SUM(C294)</f>
        <v>5166</v>
      </c>
      <c r="D293" s="673">
        <f t="shared" si="190"/>
        <v>0</v>
      </c>
      <c r="E293" s="673">
        <f t="shared" si="190"/>
        <v>0</v>
      </c>
      <c r="F293" s="673">
        <f>SUM(F294)</f>
        <v>350</v>
      </c>
      <c r="G293" s="673"/>
      <c r="H293" s="673"/>
      <c r="I293" s="673"/>
      <c r="J293" s="673">
        <f>SUM(C293+E293+F293+H293)</f>
        <v>5516</v>
      </c>
      <c r="K293" s="673">
        <f>SUM(D293+G293+I293)</f>
        <v>0</v>
      </c>
      <c r="L293" s="673">
        <f>SUM(J293:K293)</f>
        <v>5516</v>
      </c>
      <c r="M293" s="673">
        <f>SUM(M294)</f>
        <v>84849</v>
      </c>
      <c r="N293" s="673">
        <f>SUM(N294)</f>
        <v>1505</v>
      </c>
      <c r="O293" s="673">
        <f>SUM(L293:N293)</f>
        <v>91870</v>
      </c>
    </row>
    <row r="294" spans="1:16" s="677" customFormat="1" x14ac:dyDescent="0.25">
      <c r="A294" s="674"/>
      <c r="B294" s="675" t="s">
        <v>386</v>
      </c>
      <c r="C294" s="675">
        <v>5166</v>
      </c>
      <c r="D294" s="675"/>
      <c r="E294" s="675"/>
      <c r="F294" s="675">
        <v>350</v>
      </c>
      <c r="G294" s="675"/>
      <c r="H294" s="675"/>
      <c r="I294" s="675"/>
      <c r="J294" s="676">
        <f>SUM(C294+E294+F294+H294)</f>
        <v>5516</v>
      </c>
      <c r="K294" s="676">
        <f>SUM(D294+G294+I294)</f>
        <v>0</v>
      </c>
      <c r="L294" s="676">
        <f>SUM(J294:K294)</f>
        <v>5516</v>
      </c>
      <c r="M294" s="676">
        <v>84849</v>
      </c>
      <c r="N294" s="676">
        <v>1505</v>
      </c>
      <c r="O294" s="676">
        <f>SUM(L294:N294)</f>
        <v>91870</v>
      </c>
    </row>
    <row r="295" spans="1:16" s="677" customFormat="1" x14ac:dyDescent="0.25">
      <c r="A295" s="683"/>
      <c r="B295" s="684" t="s">
        <v>132</v>
      </c>
      <c r="C295" s="684"/>
      <c r="D295" s="684"/>
      <c r="E295" s="684"/>
      <c r="F295" s="684"/>
      <c r="G295" s="684"/>
      <c r="H295" s="684"/>
      <c r="I295" s="684"/>
      <c r="J295" s="685"/>
      <c r="K295" s="685"/>
      <c r="L295" s="685"/>
      <c r="M295" s="685"/>
      <c r="N295" s="685"/>
      <c r="O295" s="685"/>
    </row>
    <row r="296" spans="1:16" ht="32.25" thickBot="1" x14ac:dyDescent="0.3">
      <c r="A296" s="951"/>
      <c r="B296" s="950" t="s">
        <v>1235</v>
      </c>
      <c r="C296" s="950"/>
      <c r="D296" s="950"/>
      <c r="E296" s="950"/>
      <c r="F296" s="950"/>
      <c r="G296" s="950"/>
      <c r="H296" s="950"/>
      <c r="I296" s="950"/>
      <c r="J296" s="952">
        <f t="shared" ref="J296" si="191">SUM(C296+E296+F296+H296)</f>
        <v>0</v>
      </c>
      <c r="K296" s="952">
        <f t="shared" ref="K296" si="192">SUM(D296+G296+I296)</f>
        <v>0</v>
      </c>
      <c r="L296" s="952">
        <f t="shared" ref="L296" si="193">SUM(J296:K296)</f>
        <v>0</v>
      </c>
      <c r="M296" s="952">
        <v>-1</v>
      </c>
      <c r="N296" s="952">
        <v>1</v>
      </c>
      <c r="O296" s="952">
        <f t="shared" ref="O296" si="194">SUM(L296:N296)</f>
        <v>0</v>
      </c>
    </row>
    <row r="297" spans="1:16" ht="17.25" thickTop="1" thickBot="1" x14ac:dyDescent="0.3">
      <c r="A297" s="667"/>
      <c r="B297" s="680" t="s">
        <v>379</v>
      </c>
      <c r="C297" s="680">
        <f>+C293+C296</f>
        <v>5166</v>
      </c>
      <c r="D297" s="680">
        <f t="shared" ref="D297:O297" si="195">+D293+D296</f>
        <v>0</v>
      </c>
      <c r="E297" s="680">
        <f t="shared" si="195"/>
        <v>0</v>
      </c>
      <c r="F297" s="680">
        <f t="shared" si="195"/>
        <v>350</v>
      </c>
      <c r="G297" s="680">
        <f t="shared" si="195"/>
        <v>0</v>
      </c>
      <c r="H297" s="680">
        <f t="shared" si="195"/>
        <v>0</v>
      </c>
      <c r="I297" s="680">
        <f t="shared" si="195"/>
        <v>0</v>
      </c>
      <c r="J297" s="680">
        <f t="shared" si="195"/>
        <v>5516</v>
      </c>
      <c r="K297" s="680">
        <f t="shared" si="195"/>
        <v>0</v>
      </c>
      <c r="L297" s="680">
        <f t="shared" si="195"/>
        <v>5516</v>
      </c>
      <c r="M297" s="680">
        <f t="shared" si="195"/>
        <v>84848</v>
      </c>
      <c r="N297" s="680">
        <f t="shared" si="195"/>
        <v>1506</v>
      </c>
      <c r="O297" s="680">
        <f t="shared" si="195"/>
        <v>91870</v>
      </c>
    </row>
    <row r="298" spans="1:16" ht="17.25" thickTop="1" thickBot="1" x14ac:dyDescent="0.3">
      <c r="A298" s="667"/>
      <c r="B298" s="680" t="s">
        <v>385</v>
      </c>
      <c r="C298" s="680">
        <f>+C294+C296</f>
        <v>5166</v>
      </c>
      <c r="D298" s="680">
        <f t="shared" ref="D298:O298" si="196">+D294+D296</f>
        <v>0</v>
      </c>
      <c r="E298" s="680">
        <f t="shared" si="196"/>
        <v>0</v>
      </c>
      <c r="F298" s="680">
        <f t="shared" si="196"/>
        <v>350</v>
      </c>
      <c r="G298" s="680">
        <f t="shared" si="196"/>
        <v>0</v>
      </c>
      <c r="H298" s="680">
        <f t="shared" si="196"/>
        <v>0</v>
      </c>
      <c r="I298" s="680">
        <f t="shared" si="196"/>
        <v>0</v>
      </c>
      <c r="J298" s="680">
        <f t="shared" si="196"/>
        <v>5516</v>
      </c>
      <c r="K298" s="680">
        <f t="shared" si="196"/>
        <v>0</v>
      </c>
      <c r="L298" s="680">
        <f t="shared" si="196"/>
        <v>5516</v>
      </c>
      <c r="M298" s="680">
        <f t="shared" si="196"/>
        <v>84848</v>
      </c>
      <c r="N298" s="680">
        <f t="shared" si="196"/>
        <v>1506</v>
      </c>
      <c r="O298" s="680">
        <f t="shared" si="196"/>
        <v>91870</v>
      </c>
    </row>
    <row r="299" spans="1:16" ht="16.5" thickTop="1" x14ac:dyDescent="0.25">
      <c r="A299" s="671" t="s">
        <v>16</v>
      </c>
      <c r="B299" s="681" t="s">
        <v>390</v>
      </c>
      <c r="C299" s="681"/>
      <c r="D299" s="681"/>
      <c r="E299" s="681"/>
      <c r="F299" s="681"/>
      <c r="G299" s="681"/>
      <c r="H299" s="681"/>
      <c r="I299" s="681"/>
      <c r="J299" s="681"/>
      <c r="K299" s="681"/>
      <c r="L299" s="681"/>
      <c r="M299" s="681"/>
      <c r="N299" s="681"/>
      <c r="O299" s="681"/>
    </row>
    <row r="300" spans="1:16" x14ac:dyDescent="0.25">
      <c r="A300" s="671"/>
      <c r="B300" s="700" t="s">
        <v>347</v>
      </c>
      <c r="C300" s="700">
        <f>SUM(C301:C302)</f>
        <v>26874</v>
      </c>
      <c r="D300" s="700">
        <f t="shared" ref="D300:E300" si="197">SUM(D301:D302)</f>
        <v>2866</v>
      </c>
      <c r="E300" s="700">
        <f t="shared" si="197"/>
        <v>0</v>
      </c>
      <c r="F300" s="700">
        <f>SUM(F301:F302)</f>
        <v>8970</v>
      </c>
      <c r="G300" s="700">
        <f t="shared" ref="G300:J300" si="198">SUM(G301:G302)</f>
        <v>0</v>
      </c>
      <c r="H300" s="700">
        <f t="shared" si="198"/>
        <v>211</v>
      </c>
      <c r="I300" s="700">
        <f t="shared" si="198"/>
        <v>0</v>
      </c>
      <c r="J300" s="700">
        <f t="shared" si="198"/>
        <v>36055</v>
      </c>
      <c r="K300" s="700">
        <f>SUM(D300+G300+I300)</f>
        <v>2866</v>
      </c>
      <c r="L300" s="700">
        <f>SUM(J300:K300)</f>
        <v>38921</v>
      </c>
      <c r="M300" s="700">
        <f>SUM(M301:M302)</f>
        <v>458865</v>
      </c>
      <c r="N300" s="700">
        <f>SUM(N301:N302)</f>
        <v>27909</v>
      </c>
      <c r="O300" s="700">
        <f>SUM(L300:N300)</f>
        <v>525695</v>
      </c>
    </row>
    <row r="301" spans="1:16" s="677" customFormat="1" x14ac:dyDescent="0.25">
      <c r="A301" s="674"/>
      <c r="B301" s="694" t="s">
        <v>381</v>
      </c>
      <c r="C301" s="694">
        <v>23716</v>
      </c>
      <c r="D301" s="694"/>
      <c r="E301" s="694"/>
      <c r="F301" s="694">
        <v>8970</v>
      </c>
      <c r="G301" s="694"/>
      <c r="H301" s="694"/>
      <c r="I301" s="694"/>
      <c r="J301" s="696">
        <f>SUM(C301+E301+F301+H301)</f>
        <v>32686</v>
      </c>
      <c r="K301" s="696">
        <f>SUM(D301+G301+I301)</f>
        <v>0</v>
      </c>
      <c r="L301" s="696">
        <f>SUM(J301:K301)</f>
        <v>32686</v>
      </c>
      <c r="M301" s="696">
        <v>452435</v>
      </c>
      <c r="N301" s="696">
        <v>27909</v>
      </c>
      <c r="O301" s="696">
        <f>SUM(L301:N301)</f>
        <v>513030</v>
      </c>
    </row>
    <row r="302" spans="1:16" s="677" customFormat="1" x14ac:dyDescent="0.25">
      <c r="A302" s="674"/>
      <c r="B302" s="675" t="s">
        <v>380</v>
      </c>
      <c r="C302" s="675">
        <v>3158</v>
      </c>
      <c r="D302" s="675">
        <v>2866</v>
      </c>
      <c r="E302" s="675"/>
      <c r="F302" s="675"/>
      <c r="G302" s="675"/>
      <c r="H302" s="675">
        <v>211</v>
      </c>
      <c r="I302" s="675"/>
      <c r="J302" s="675">
        <f>SUM(C302+E302+F302+H302)</f>
        <v>3369</v>
      </c>
      <c r="K302" s="675">
        <f>SUM(D302+G302+I302)</f>
        <v>2866</v>
      </c>
      <c r="L302" s="675">
        <f>SUM(J302:K302)</f>
        <v>6235</v>
      </c>
      <c r="M302" s="675">
        <v>6430</v>
      </c>
      <c r="N302" s="675"/>
      <c r="O302" s="675">
        <f>SUM(L302:N302)</f>
        <v>12665</v>
      </c>
    </row>
    <row r="303" spans="1:16" s="677" customFormat="1" x14ac:dyDescent="0.25">
      <c r="A303" s="674"/>
      <c r="B303" s="675" t="s">
        <v>131</v>
      </c>
      <c r="C303" s="675"/>
      <c r="D303" s="675"/>
      <c r="E303" s="675"/>
      <c r="F303" s="675"/>
      <c r="G303" s="675"/>
      <c r="H303" s="675"/>
      <c r="I303" s="675"/>
      <c r="J303" s="675"/>
      <c r="K303" s="675"/>
      <c r="L303" s="675"/>
      <c r="M303" s="675"/>
      <c r="N303" s="675"/>
      <c r="O303" s="675"/>
    </row>
    <row r="304" spans="1:16" s="677" customFormat="1" ht="31.5" x14ac:dyDescent="0.25">
      <c r="A304" s="674"/>
      <c r="B304" s="678" t="s">
        <v>1235</v>
      </c>
      <c r="C304" s="675"/>
      <c r="D304" s="675"/>
      <c r="E304" s="675"/>
      <c r="F304" s="675"/>
      <c r="G304" s="675"/>
      <c r="H304" s="675"/>
      <c r="I304" s="675"/>
      <c r="J304" s="678">
        <f t="shared" ref="J304:J309" si="199">SUM(C304+E304+F304+H304)</f>
        <v>0</v>
      </c>
      <c r="K304" s="678">
        <f t="shared" ref="K304:K309" si="200">SUM(D304+G304+I304)</f>
        <v>0</v>
      </c>
      <c r="L304" s="678">
        <f t="shared" ref="L304:L309" si="201">SUM(J304:K304)</f>
        <v>0</v>
      </c>
      <c r="M304" s="678">
        <v>11</v>
      </c>
      <c r="N304" s="678">
        <v>-11</v>
      </c>
      <c r="O304" s="678">
        <f t="shared" ref="O304:O309" si="202">SUM(L304:N304)</f>
        <v>0</v>
      </c>
    </row>
    <row r="305" spans="1:16" s="677" customFormat="1" ht="47.25" x14ac:dyDescent="0.25">
      <c r="A305" s="674"/>
      <c r="B305" s="679" t="s">
        <v>1215</v>
      </c>
      <c r="C305" s="675"/>
      <c r="D305" s="675"/>
      <c r="E305" s="675"/>
      <c r="F305" s="675"/>
      <c r="G305" s="675"/>
      <c r="H305" s="675"/>
      <c r="I305" s="675"/>
      <c r="J305" s="678">
        <f t="shared" si="199"/>
        <v>0</v>
      </c>
      <c r="K305" s="678">
        <f t="shared" si="200"/>
        <v>0</v>
      </c>
      <c r="L305" s="678">
        <f t="shared" si="201"/>
        <v>0</v>
      </c>
      <c r="M305" s="678">
        <v>951</v>
      </c>
      <c r="N305" s="678"/>
      <c r="O305" s="678">
        <f t="shared" si="202"/>
        <v>951</v>
      </c>
    </row>
    <row r="306" spans="1:16" s="677" customFormat="1" ht="31.5" x14ac:dyDescent="0.25">
      <c r="A306" s="674"/>
      <c r="B306" s="679" t="s">
        <v>915</v>
      </c>
      <c r="C306" s="675"/>
      <c r="D306" s="675"/>
      <c r="E306" s="675"/>
      <c r="F306" s="678">
        <f>715+11</f>
        <v>726</v>
      </c>
      <c r="G306" s="675"/>
      <c r="H306" s="675"/>
      <c r="I306" s="675"/>
      <c r="J306" s="678">
        <f t="shared" si="199"/>
        <v>726</v>
      </c>
      <c r="K306" s="678">
        <f t="shared" si="200"/>
        <v>0</v>
      </c>
      <c r="L306" s="678">
        <f t="shared" si="201"/>
        <v>726</v>
      </c>
      <c r="M306" s="678"/>
      <c r="N306" s="678"/>
      <c r="O306" s="678">
        <f t="shared" si="202"/>
        <v>726</v>
      </c>
    </row>
    <row r="307" spans="1:16" s="677" customFormat="1" x14ac:dyDescent="0.25">
      <c r="A307" s="674"/>
      <c r="B307" s="675" t="s">
        <v>132</v>
      </c>
      <c r="C307" s="675"/>
      <c r="D307" s="675"/>
      <c r="E307" s="675"/>
      <c r="F307" s="675"/>
      <c r="G307" s="675"/>
      <c r="H307" s="675"/>
      <c r="I307" s="675"/>
      <c r="J307" s="675"/>
      <c r="K307" s="675"/>
      <c r="L307" s="675"/>
      <c r="M307" s="675"/>
      <c r="N307" s="675"/>
      <c r="O307" s="675"/>
    </row>
    <row r="308" spans="1:16" s="677" customFormat="1" ht="47.25" x14ac:dyDescent="0.25">
      <c r="A308" s="674"/>
      <c r="B308" s="679" t="s">
        <v>1220</v>
      </c>
      <c r="C308" s="678">
        <v>-9</v>
      </c>
      <c r="D308" s="675"/>
      <c r="E308" s="675"/>
      <c r="F308" s="675"/>
      <c r="G308" s="675"/>
      <c r="H308" s="675"/>
      <c r="I308" s="675"/>
      <c r="J308" s="678">
        <f t="shared" si="199"/>
        <v>-9</v>
      </c>
      <c r="K308" s="678">
        <f t="shared" si="200"/>
        <v>0</v>
      </c>
      <c r="L308" s="678">
        <f t="shared" si="201"/>
        <v>-9</v>
      </c>
      <c r="M308" s="678"/>
      <c r="N308" s="678"/>
      <c r="O308" s="678">
        <f t="shared" si="202"/>
        <v>-9</v>
      </c>
    </row>
    <row r="309" spans="1:16" s="677" customFormat="1" ht="32.25" thickBot="1" x14ac:dyDescent="0.3">
      <c r="A309" s="674"/>
      <c r="B309" s="679" t="s">
        <v>915</v>
      </c>
      <c r="C309" s="675"/>
      <c r="D309" s="675"/>
      <c r="E309" s="675"/>
      <c r="F309" s="675"/>
      <c r="G309" s="675"/>
      <c r="H309" s="678">
        <v>4</v>
      </c>
      <c r="I309" s="675"/>
      <c r="J309" s="678">
        <f t="shared" si="199"/>
        <v>4</v>
      </c>
      <c r="K309" s="678">
        <f t="shared" si="200"/>
        <v>0</v>
      </c>
      <c r="L309" s="678">
        <f t="shared" si="201"/>
        <v>4</v>
      </c>
      <c r="M309" s="678"/>
      <c r="N309" s="678"/>
      <c r="O309" s="678">
        <f t="shared" si="202"/>
        <v>4</v>
      </c>
    </row>
    <row r="310" spans="1:16" ht="17.25" thickTop="1" thickBot="1" x14ac:dyDescent="0.3">
      <c r="A310" s="667"/>
      <c r="B310" s="680" t="s">
        <v>379</v>
      </c>
      <c r="C310" s="680">
        <f>+C300+C304+C308+C305+C306+C309</f>
        <v>26865</v>
      </c>
      <c r="D310" s="680">
        <f t="shared" ref="D310:O310" si="203">+D300+D304+D308+D305+D306+D309</f>
        <v>2866</v>
      </c>
      <c r="E310" s="680">
        <f t="shared" si="203"/>
        <v>0</v>
      </c>
      <c r="F310" s="680">
        <f t="shared" si="203"/>
        <v>9696</v>
      </c>
      <c r="G310" s="680">
        <f t="shared" si="203"/>
        <v>0</v>
      </c>
      <c r="H310" s="680">
        <f t="shared" si="203"/>
        <v>215</v>
      </c>
      <c r="I310" s="680">
        <f t="shared" si="203"/>
        <v>0</v>
      </c>
      <c r="J310" s="680">
        <f t="shared" si="203"/>
        <v>36776</v>
      </c>
      <c r="K310" s="680">
        <f t="shared" si="203"/>
        <v>2866</v>
      </c>
      <c r="L310" s="680">
        <f t="shared" si="203"/>
        <v>39642</v>
      </c>
      <c r="M310" s="680">
        <f t="shared" si="203"/>
        <v>459827</v>
      </c>
      <c r="N310" s="680">
        <f t="shared" si="203"/>
        <v>27898</v>
      </c>
      <c r="O310" s="680">
        <f t="shared" si="203"/>
        <v>527367</v>
      </c>
      <c r="P310" s="659">
        <f>O311+O312</f>
        <v>527367</v>
      </c>
    </row>
    <row r="311" spans="1:16" ht="17.25" thickTop="1" thickBot="1" x14ac:dyDescent="0.3">
      <c r="A311" s="667"/>
      <c r="B311" s="680" t="s">
        <v>378</v>
      </c>
      <c r="C311" s="680">
        <f>+C301+C304+C305+C306</f>
        <v>23716</v>
      </c>
      <c r="D311" s="680">
        <f t="shared" ref="D311:O311" si="204">+D301+D304+D305+D306</f>
        <v>0</v>
      </c>
      <c r="E311" s="680">
        <f t="shared" si="204"/>
        <v>0</v>
      </c>
      <c r="F311" s="680">
        <f t="shared" si="204"/>
        <v>9696</v>
      </c>
      <c r="G311" s="680">
        <f t="shared" si="204"/>
        <v>0</v>
      </c>
      <c r="H311" s="680">
        <f t="shared" si="204"/>
        <v>0</v>
      </c>
      <c r="I311" s="680">
        <f t="shared" si="204"/>
        <v>0</v>
      </c>
      <c r="J311" s="680">
        <f t="shared" si="204"/>
        <v>33412</v>
      </c>
      <c r="K311" s="680">
        <f t="shared" si="204"/>
        <v>0</v>
      </c>
      <c r="L311" s="680">
        <f t="shared" si="204"/>
        <v>33412</v>
      </c>
      <c r="M311" s="680">
        <f t="shared" si="204"/>
        <v>453397</v>
      </c>
      <c r="N311" s="680">
        <f t="shared" si="204"/>
        <v>27898</v>
      </c>
      <c r="O311" s="680">
        <f t="shared" si="204"/>
        <v>514707</v>
      </c>
    </row>
    <row r="312" spans="1:16" ht="17.25" thickTop="1" thickBot="1" x14ac:dyDescent="0.3">
      <c r="A312" s="667"/>
      <c r="B312" s="680" t="s">
        <v>377</v>
      </c>
      <c r="C312" s="680">
        <f>+C302+C308+C309</f>
        <v>3149</v>
      </c>
      <c r="D312" s="680">
        <f t="shared" ref="D312:O312" si="205">+D302+D308+D309</f>
        <v>2866</v>
      </c>
      <c r="E312" s="680">
        <f t="shared" si="205"/>
        <v>0</v>
      </c>
      <c r="F312" s="680">
        <f t="shared" si="205"/>
        <v>0</v>
      </c>
      <c r="G312" s="680">
        <f t="shared" si="205"/>
        <v>0</v>
      </c>
      <c r="H312" s="680">
        <f t="shared" si="205"/>
        <v>215</v>
      </c>
      <c r="I312" s="680">
        <f t="shared" si="205"/>
        <v>0</v>
      </c>
      <c r="J312" s="680">
        <f t="shared" si="205"/>
        <v>3364</v>
      </c>
      <c r="K312" s="680">
        <f t="shared" si="205"/>
        <v>2866</v>
      </c>
      <c r="L312" s="680">
        <f t="shared" si="205"/>
        <v>6230</v>
      </c>
      <c r="M312" s="680">
        <f t="shared" si="205"/>
        <v>6430</v>
      </c>
      <c r="N312" s="680">
        <f t="shared" si="205"/>
        <v>0</v>
      </c>
      <c r="O312" s="680">
        <f t="shared" si="205"/>
        <v>12660</v>
      </c>
    </row>
    <row r="313" spans="1:16" ht="16.5" thickTop="1" x14ac:dyDescent="0.25">
      <c r="A313" s="671" t="s">
        <v>17</v>
      </c>
      <c r="B313" s="681" t="s">
        <v>389</v>
      </c>
      <c r="C313" s="681"/>
      <c r="D313" s="681"/>
      <c r="E313" s="681"/>
      <c r="F313" s="681"/>
      <c r="G313" s="681"/>
      <c r="H313" s="681"/>
      <c r="I313" s="681"/>
      <c r="J313" s="681"/>
      <c r="K313" s="681"/>
      <c r="L313" s="681"/>
      <c r="M313" s="681"/>
      <c r="N313" s="681"/>
      <c r="O313" s="681"/>
    </row>
    <row r="314" spans="1:16" x14ac:dyDescent="0.25">
      <c r="A314" s="671"/>
      <c r="B314" s="673" t="s">
        <v>347</v>
      </c>
      <c r="C314" s="673">
        <f t="shared" ref="C314:E314" si="206">SUM(C315:C316)</f>
        <v>55250</v>
      </c>
      <c r="D314" s="673">
        <f t="shared" si="206"/>
        <v>0</v>
      </c>
      <c r="E314" s="673">
        <f t="shared" si="206"/>
        <v>0</v>
      </c>
      <c r="F314" s="673">
        <f>SUM(F315:F316)</f>
        <v>95893</v>
      </c>
      <c r="G314" s="673"/>
      <c r="H314" s="673"/>
      <c r="I314" s="673"/>
      <c r="J314" s="673">
        <f>SUM(C314+E314+F314+H314)</f>
        <v>151143</v>
      </c>
      <c r="K314" s="673">
        <f>SUM(D314+G314+I314)</f>
        <v>0</v>
      </c>
      <c r="L314" s="673">
        <f>SUM(J314:K314)</f>
        <v>151143</v>
      </c>
      <c r="M314" s="673">
        <f>SUM(M315:M316)</f>
        <v>663866</v>
      </c>
      <c r="N314" s="673">
        <f>SUM(N315:N316)</f>
        <v>105047</v>
      </c>
      <c r="O314" s="673">
        <f>SUM(L314:N314)</f>
        <v>920056</v>
      </c>
    </row>
    <row r="315" spans="1:16" s="677" customFormat="1" x14ac:dyDescent="0.25">
      <c r="A315" s="674"/>
      <c r="B315" s="675" t="s">
        <v>381</v>
      </c>
      <c r="C315" s="675">
        <v>55221</v>
      </c>
      <c r="D315" s="675"/>
      <c r="E315" s="675"/>
      <c r="F315" s="675">
        <v>95893</v>
      </c>
      <c r="G315" s="675"/>
      <c r="H315" s="675"/>
      <c r="I315" s="675"/>
      <c r="J315" s="676">
        <f>SUM(C315+E315+F315+H315)</f>
        <v>151114</v>
      </c>
      <c r="K315" s="676">
        <f>SUM(D315+G315+I315)</f>
        <v>0</v>
      </c>
      <c r="L315" s="676">
        <f>SUM(J315:K315)</f>
        <v>151114</v>
      </c>
      <c r="M315" s="676">
        <v>655379</v>
      </c>
      <c r="N315" s="676">
        <v>105047</v>
      </c>
      <c r="O315" s="676">
        <f>SUM(L315:N315)</f>
        <v>911540</v>
      </c>
    </row>
    <row r="316" spans="1:16" s="677" customFormat="1" x14ac:dyDescent="0.25">
      <c r="A316" s="674"/>
      <c r="B316" s="675" t="s">
        <v>380</v>
      </c>
      <c r="C316" s="675">
        <v>29</v>
      </c>
      <c r="D316" s="675"/>
      <c r="E316" s="675"/>
      <c r="F316" s="675"/>
      <c r="G316" s="675"/>
      <c r="H316" s="675"/>
      <c r="I316" s="675"/>
      <c r="J316" s="675">
        <f>SUM(C316+E316+F316+H316)</f>
        <v>29</v>
      </c>
      <c r="K316" s="675">
        <f>SUM(D316+G316+I316)</f>
        <v>0</v>
      </c>
      <c r="L316" s="675">
        <f>SUM(J316:K316)</f>
        <v>29</v>
      </c>
      <c r="M316" s="675">
        <v>8487</v>
      </c>
      <c r="N316" s="675"/>
      <c r="O316" s="675">
        <f>SUM(L316:N316)</f>
        <v>8516</v>
      </c>
    </row>
    <row r="317" spans="1:16" x14ac:dyDescent="0.25">
      <c r="A317" s="671"/>
      <c r="B317" s="675" t="s">
        <v>131</v>
      </c>
      <c r="C317" s="675"/>
      <c r="D317" s="675"/>
      <c r="E317" s="675"/>
      <c r="F317" s="675"/>
      <c r="G317" s="675"/>
      <c r="H317" s="675"/>
      <c r="I317" s="675"/>
      <c r="J317" s="673"/>
      <c r="K317" s="673"/>
      <c r="L317" s="673"/>
      <c r="M317" s="673"/>
      <c r="N317" s="673"/>
      <c r="O317" s="673"/>
    </row>
    <row r="318" spans="1:16" ht="31.5" x14ac:dyDescent="0.25">
      <c r="A318" s="671"/>
      <c r="B318" s="678" t="s">
        <v>1235</v>
      </c>
      <c r="C318" s="673"/>
      <c r="D318" s="673"/>
      <c r="E318" s="673"/>
      <c r="F318" s="673"/>
      <c r="G318" s="673"/>
      <c r="H318" s="673"/>
      <c r="I318" s="673"/>
      <c r="J318" s="673">
        <f t="shared" ref="J318:J322" si="207">SUM(C318+E318+F318+H318)</f>
        <v>0</v>
      </c>
      <c r="K318" s="673">
        <f t="shared" ref="K318:K322" si="208">SUM(D318+G318+I318)</f>
        <v>0</v>
      </c>
      <c r="L318" s="673">
        <f t="shared" ref="L318:L322" si="209">SUM(J318:K318)</f>
        <v>0</v>
      </c>
      <c r="M318" s="673">
        <v>-3</v>
      </c>
      <c r="N318" s="673">
        <v>3</v>
      </c>
      <c r="O318" s="673">
        <f t="shared" ref="O318:O322" si="210">SUM(L318:N318)</f>
        <v>0</v>
      </c>
    </row>
    <row r="319" spans="1:16" ht="31.5" x14ac:dyDescent="0.25">
      <c r="A319" s="671"/>
      <c r="B319" s="679" t="s">
        <v>915</v>
      </c>
      <c r="C319" s="673"/>
      <c r="D319" s="673"/>
      <c r="E319" s="673"/>
      <c r="F319" s="673">
        <v>33095</v>
      </c>
      <c r="G319" s="673"/>
      <c r="H319" s="673"/>
      <c r="I319" s="673"/>
      <c r="J319" s="673">
        <f t="shared" si="207"/>
        <v>33095</v>
      </c>
      <c r="K319" s="673">
        <f t="shared" si="208"/>
        <v>0</v>
      </c>
      <c r="L319" s="673">
        <f t="shared" si="209"/>
        <v>33095</v>
      </c>
      <c r="M319" s="673"/>
      <c r="N319" s="673"/>
      <c r="O319" s="673">
        <f t="shared" si="210"/>
        <v>33095</v>
      </c>
    </row>
    <row r="320" spans="1:16" x14ac:dyDescent="0.25">
      <c r="A320" s="671"/>
      <c r="B320" s="675" t="s">
        <v>132</v>
      </c>
      <c r="C320" s="675"/>
      <c r="D320" s="675"/>
      <c r="E320" s="675"/>
      <c r="F320" s="675"/>
      <c r="G320" s="675"/>
      <c r="H320" s="675"/>
      <c r="I320" s="675"/>
      <c r="J320" s="673"/>
      <c r="K320" s="673"/>
      <c r="L320" s="673"/>
      <c r="M320" s="673"/>
      <c r="N320" s="673"/>
      <c r="O320" s="673"/>
    </row>
    <row r="321" spans="1:16" ht="47.25" x14ac:dyDescent="0.25">
      <c r="A321" s="671"/>
      <c r="B321" s="678" t="s">
        <v>1238</v>
      </c>
      <c r="C321" s="673">
        <v>1500</v>
      </c>
      <c r="D321" s="673"/>
      <c r="E321" s="673"/>
      <c r="F321" s="673"/>
      <c r="G321" s="673"/>
      <c r="H321" s="673"/>
      <c r="I321" s="673"/>
      <c r="J321" s="673">
        <f t="shared" si="207"/>
        <v>1500</v>
      </c>
      <c r="K321" s="673">
        <f t="shared" si="208"/>
        <v>0</v>
      </c>
      <c r="L321" s="673">
        <f t="shared" si="209"/>
        <v>1500</v>
      </c>
      <c r="M321" s="673"/>
      <c r="N321" s="673"/>
      <c r="O321" s="673">
        <f t="shared" si="210"/>
        <v>1500</v>
      </c>
    </row>
    <row r="322" spans="1:16" ht="48" thickBot="1" x14ac:dyDescent="0.3">
      <c r="A322" s="671"/>
      <c r="B322" s="678" t="s">
        <v>1238</v>
      </c>
      <c r="C322" s="673">
        <v>630</v>
      </c>
      <c r="D322" s="673">
        <v>19370</v>
      </c>
      <c r="E322" s="673"/>
      <c r="F322" s="673"/>
      <c r="G322" s="673"/>
      <c r="H322" s="673"/>
      <c r="I322" s="673"/>
      <c r="J322" s="673">
        <f t="shared" si="207"/>
        <v>630</v>
      </c>
      <c r="K322" s="673">
        <f t="shared" si="208"/>
        <v>19370</v>
      </c>
      <c r="L322" s="673">
        <f t="shared" si="209"/>
        <v>20000</v>
      </c>
      <c r="M322" s="673"/>
      <c r="N322" s="673"/>
      <c r="O322" s="673">
        <f t="shared" si="210"/>
        <v>20000</v>
      </c>
    </row>
    <row r="323" spans="1:16" ht="17.25" thickTop="1" thickBot="1" x14ac:dyDescent="0.3">
      <c r="A323" s="667"/>
      <c r="B323" s="680" t="s">
        <v>379</v>
      </c>
      <c r="C323" s="680">
        <f>+C314+C318+C319+C321+C322</f>
        <v>57380</v>
      </c>
      <c r="D323" s="680">
        <f t="shared" ref="D323:O323" si="211">+D314+D318+D319+D321+D322</f>
        <v>19370</v>
      </c>
      <c r="E323" s="680">
        <f t="shared" si="211"/>
        <v>0</v>
      </c>
      <c r="F323" s="680">
        <f t="shared" si="211"/>
        <v>128988</v>
      </c>
      <c r="G323" s="680">
        <f t="shared" si="211"/>
        <v>0</v>
      </c>
      <c r="H323" s="680">
        <f t="shared" si="211"/>
        <v>0</v>
      </c>
      <c r="I323" s="680">
        <f t="shared" si="211"/>
        <v>0</v>
      </c>
      <c r="J323" s="680">
        <f t="shared" si="211"/>
        <v>186368</v>
      </c>
      <c r="K323" s="680">
        <f t="shared" si="211"/>
        <v>19370</v>
      </c>
      <c r="L323" s="680">
        <f t="shared" si="211"/>
        <v>205738</v>
      </c>
      <c r="M323" s="680">
        <f t="shared" si="211"/>
        <v>663863</v>
      </c>
      <c r="N323" s="680">
        <f t="shared" si="211"/>
        <v>105050</v>
      </c>
      <c r="O323" s="680">
        <f t="shared" si="211"/>
        <v>974651</v>
      </c>
      <c r="P323" s="659">
        <f>O324+O325</f>
        <v>974651</v>
      </c>
    </row>
    <row r="324" spans="1:16" ht="17.25" thickTop="1" thickBot="1" x14ac:dyDescent="0.3">
      <c r="A324" s="667"/>
      <c r="B324" s="680" t="s">
        <v>378</v>
      </c>
      <c r="C324" s="680">
        <f>+C315+C318+C319</f>
        <v>55221</v>
      </c>
      <c r="D324" s="680">
        <f t="shared" ref="D324:O324" si="212">+D315+D318+D319</f>
        <v>0</v>
      </c>
      <c r="E324" s="680">
        <f t="shared" si="212"/>
        <v>0</v>
      </c>
      <c r="F324" s="680">
        <f t="shared" si="212"/>
        <v>128988</v>
      </c>
      <c r="G324" s="680">
        <f t="shared" si="212"/>
        <v>0</v>
      </c>
      <c r="H324" s="680">
        <f t="shared" si="212"/>
        <v>0</v>
      </c>
      <c r="I324" s="680">
        <f t="shared" si="212"/>
        <v>0</v>
      </c>
      <c r="J324" s="680">
        <f t="shared" si="212"/>
        <v>184209</v>
      </c>
      <c r="K324" s="680">
        <f t="shared" si="212"/>
        <v>0</v>
      </c>
      <c r="L324" s="680">
        <f t="shared" si="212"/>
        <v>184209</v>
      </c>
      <c r="M324" s="680">
        <f t="shared" si="212"/>
        <v>655376</v>
      </c>
      <c r="N324" s="680">
        <f t="shared" si="212"/>
        <v>105050</v>
      </c>
      <c r="O324" s="680">
        <f t="shared" si="212"/>
        <v>944635</v>
      </c>
    </row>
    <row r="325" spans="1:16" ht="17.25" thickTop="1" thickBot="1" x14ac:dyDescent="0.3">
      <c r="A325" s="671"/>
      <c r="B325" s="680" t="s">
        <v>377</v>
      </c>
      <c r="C325" s="680">
        <f t="shared" ref="C325:O325" si="213">+C316+C321+C322</f>
        <v>2159</v>
      </c>
      <c r="D325" s="680">
        <f t="shared" si="213"/>
        <v>19370</v>
      </c>
      <c r="E325" s="680">
        <f t="shared" si="213"/>
        <v>0</v>
      </c>
      <c r="F325" s="680">
        <f t="shared" si="213"/>
        <v>0</v>
      </c>
      <c r="G325" s="680">
        <f t="shared" si="213"/>
        <v>0</v>
      </c>
      <c r="H325" s="680">
        <f t="shared" si="213"/>
        <v>0</v>
      </c>
      <c r="I325" s="680">
        <f t="shared" si="213"/>
        <v>0</v>
      </c>
      <c r="J325" s="680">
        <f t="shared" si="213"/>
        <v>2159</v>
      </c>
      <c r="K325" s="680">
        <f t="shared" si="213"/>
        <v>19370</v>
      </c>
      <c r="L325" s="680">
        <f t="shared" si="213"/>
        <v>21529</v>
      </c>
      <c r="M325" s="680">
        <f t="shared" si="213"/>
        <v>8487</v>
      </c>
      <c r="N325" s="680">
        <f t="shared" si="213"/>
        <v>0</v>
      </c>
      <c r="O325" s="680">
        <f t="shared" si="213"/>
        <v>30016</v>
      </c>
    </row>
    <row r="326" spans="1:16" ht="16.5" thickTop="1" x14ac:dyDescent="0.25">
      <c r="A326" s="682" t="s">
        <v>18</v>
      </c>
      <c r="B326" s="681" t="s">
        <v>568</v>
      </c>
      <c r="C326" s="681"/>
      <c r="D326" s="681"/>
      <c r="E326" s="681"/>
      <c r="F326" s="681"/>
      <c r="G326" s="681"/>
      <c r="H326" s="681"/>
      <c r="I326" s="681"/>
      <c r="J326" s="681"/>
      <c r="K326" s="681"/>
      <c r="L326" s="681"/>
      <c r="M326" s="681"/>
      <c r="N326" s="681"/>
      <c r="O326" s="681"/>
    </row>
    <row r="327" spans="1:16" x14ac:dyDescent="0.25">
      <c r="A327" s="682"/>
      <c r="B327" s="700" t="s">
        <v>347</v>
      </c>
      <c r="C327" s="700">
        <f t="shared" ref="C327:E327" si="214">SUM(C328)</f>
        <v>668</v>
      </c>
      <c r="D327" s="700">
        <f t="shared" si="214"/>
        <v>0</v>
      </c>
      <c r="E327" s="700">
        <f t="shared" si="214"/>
        <v>0</v>
      </c>
      <c r="F327" s="700">
        <f>SUM(F328)</f>
        <v>100</v>
      </c>
      <c r="G327" s="700">
        <f t="shared" ref="G327:I327" si="215">SUM(G328)</f>
        <v>0</v>
      </c>
      <c r="H327" s="700">
        <f t="shared" si="215"/>
        <v>0</v>
      </c>
      <c r="I327" s="700">
        <f t="shared" si="215"/>
        <v>0</v>
      </c>
      <c r="J327" s="700">
        <f>SUM(C327+E327+F327+H327)</f>
        <v>768</v>
      </c>
      <c r="K327" s="700">
        <f>SUM(D327+G327+I327)</f>
        <v>0</v>
      </c>
      <c r="L327" s="700">
        <f>SUM(J327:K327)</f>
        <v>768</v>
      </c>
      <c r="M327" s="700">
        <f>SUM(M328)</f>
        <v>40390</v>
      </c>
      <c r="N327" s="700">
        <f>SUM(N328)</f>
        <v>2163</v>
      </c>
      <c r="O327" s="700">
        <f>SUM(L327:N327)</f>
        <v>43321</v>
      </c>
    </row>
    <row r="328" spans="1:16" s="677" customFormat="1" x14ac:dyDescent="0.25">
      <c r="A328" s="683"/>
      <c r="B328" s="694" t="s">
        <v>386</v>
      </c>
      <c r="C328" s="694">
        <v>668</v>
      </c>
      <c r="D328" s="694"/>
      <c r="E328" s="694"/>
      <c r="F328" s="694">
        <v>100</v>
      </c>
      <c r="G328" s="694"/>
      <c r="H328" s="694"/>
      <c r="I328" s="694"/>
      <c r="J328" s="696">
        <f>SUM(C328+E328+F328+H328)</f>
        <v>768</v>
      </c>
      <c r="K328" s="696">
        <f>SUM(D328+G328+I328)</f>
        <v>0</v>
      </c>
      <c r="L328" s="696">
        <f>SUM(J328:K328)</f>
        <v>768</v>
      </c>
      <c r="M328" s="696">
        <v>40390</v>
      </c>
      <c r="N328" s="696">
        <v>2163</v>
      </c>
      <c r="O328" s="696">
        <f>SUM(L328:N328)</f>
        <v>43321</v>
      </c>
    </row>
    <row r="329" spans="1:16" s="677" customFormat="1" x14ac:dyDescent="0.25">
      <c r="A329" s="683"/>
      <c r="B329" s="675" t="s">
        <v>132</v>
      </c>
      <c r="C329" s="675"/>
      <c r="D329" s="675"/>
      <c r="E329" s="675"/>
      <c r="F329" s="675"/>
      <c r="G329" s="675"/>
      <c r="H329" s="675"/>
      <c r="I329" s="675"/>
      <c r="J329" s="676"/>
      <c r="K329" s="676"/>
      <c r="L329" s="676"/>
      <c r="M329" s="676"/>
      <c r="N329" s="676"/>
      <c r="O329" s="676"/>
    </row>
    <row r="330" spans="1:16" s="677" customFormat="1" ht="32.25" thickBot="1" x14ac:dyDescent="0.3">
      <c r="A330" s="683"/>
      <c r="B330" s="679" t="s">
        <v>915</v>
      </c>
      <c r="C330" s="678">
        <v>1</v>
      </c>
      <c r="D330" s="678"/>
      <c r="E330" s="678"/>
      <c r="F330" s="678"/>
      <c r="G330" s="678"/>
      <c r="H330" s="678"/>
      <c r="I330" s="678"/>
      <c r="J330" s="678">
        <f t="shared" ref="J330" si="216">SUM(C330+E330+F330+H330)</f>
        <v>1</v>
      </c>
      <c r="K330" s="678">
        <f t="shared" ref="K330" si="217">SUM(D330+G330+I330)</f>
        <v>0</v>
      </c>
      <c r="L330" s="678">
        <f t="shared" ref="L330" si="218">SUM(J330:K330)</f>
        <v>1</v>
      </c>
      <c r="M330" s="678"/>
      <c r="N330" s="678"/>
      <c r="O330" s="678">
        <f t="shared" ref="O330" si="219">SUM(L330:N330)</f>
        <v>1</v>
      </c>
    </row>
    <row r="331" spans="1:16" ht="17.25" thickTop="1" thickBot="1" x14ac:dyDescent="0.3">
      <c r="A331" s="667"/>
      <c r="B331" s="680" t="s">
        <v>379</v>
      </c>
      <c r="C331" s="680">
        <f>+C327+C330</f>
        <v>669</v>
      </c>
      <c r="D331" s="680">
        <f t="shared" ref="D331:O331" si="220">+D327+D330</f>
        <v>0</v>
      </c>
      <c r="E331" s="680">
        <f t="shared" si="220"/>
        <v>0</v>
      </c>
      <c r="F331" s="680">
        <f t="shared" si="220"/>
        <v>100</v>
      </c>
      <c r="G331" s="680">
        <f t="shared" si="220"/>
        <v>0</v>
      </c>
      <c r="H331" s="680">
        <f t="shared" si="220"/>
        <v>0</v>
      </c>
      <c r="I331" s="680">
        <f t="shared" si="220"/>
        <v>0</v>
      </c>
      <c r="J331" s="680">
        <f t="shared" si="220"/>
        <v>769</v>
      </c>
      <c r="K331" s="680">
        <f t="shared" si="220"/>
        <v>0</v>
      </c>
      <c r="L331" s="680">
        <f t="shared" si="220"/>
        <v>769</v>
      </c>
      <c r="M331" s="680">
        <f t="shared" si="220"/>
        <v>40390</v>
      </c>
      <c r="N331" s="680">
        <f t="shared" si="220"/>
        <v>2163</v>
      </c>
      <c r="O331" s="680">
        <f t="shared" si="220"/>
        <v>43322</v>
      </c>
    </row>
    <row r="332" spans="1:16" ht="17.25" thickTop="1" thickBot="1" x14ac:dyDescent="0.3">
      <c r="A332" s="667"/>
      <c r="B332" s="680" t="s">
        <v>385</v>
      </c>
      <c r="C332" s="680">
        <f>+C328+C330</f>
        <v>669</v>
      </c>
      <c r="D332" s="680">
        <f t="shared" ref="D332:O332" si="221">+D328+D330</f>
        <v>0</v>
      </c>
      <c r="E332" s="680">
        <f t="shared" si="221"/>
        <v>0</v>
      </c>
      <c r="F332" s="680">
        <f t="shared" si="221"/>
        <v>100</v>
      </c>
      <c r="G332" s="680">
        <f t="shared" si="221"/>
        <v>0</v>
      </c>
      <c r="H332" s="680">
        <f t="shared" si="221"/>
        <v>0</v>
      </c>
      <c r="I332" s="680">
        <f t="shared" si="221"/>
        <v>0</v>
      </c>
      <c r="J332" s="680">
        <f t="shared" si="221"/>
        <v>769</v>
      </c>
      <c r="K332" s="680">
        <f t="shared" si="221"/>
        <v>0</v>
      </c>
      <c r="L332" s="680">
        <f t="shared" si="221"/>
        <v>769</v>
      </c>
      <c r="M332" s="680">
        <f t="shared" si="221"/>
        <v>40390</v>
      </c>
      <c r="N332" s="680">
        <f t="shared" si="221"/>
        <v>2163</v>
      </c>
      <c r="O332" s="680">
        <f t="shared" si="221"/>
        <v>43322</v>
      </c>
    </row>
    <row r="333" spans="1:16" ht="16.5" thickTop="1" x14ac:dyDescent="0.25">
      <c r="A333" s="697" t="s">
        <v>19</v>
      </c>
      <c r="B333" s="695" t="s">
        <v>388</v>
      </c>
      <c r="C333" s="695"/>
      <c r="D333" s="695"/>
      <c r="E333" s="695"/>
      <c r="F333" s="695"/>
      <c r="G333" s="695"/>
      <c r="H333" s="695"/>
      <c r="I333" s="695"/>
      <c r="J333" s="695"/>
      <c r="K333" s="695"/>
      <c r="L333" s="695"/>
      <c r="M333" s="695"/>
      <c r="N333" s="695"/>
      <c r="O333" s="695"/>
    </row>
    <row r="334" spans="1:16" x14ac:dyDescent="0.25">
      <c r="A334" s="682"/>
      <c r="B334" s="672" t="s">
        <v>347</v>
      </c>
      <c r="C334" s="672">
        <f t="shared" ref="C334:E334" si="222">SUM(C335)</f>
        <v>90024</v>
      </c>
      <c r="D334" s="672">
        <f t="shared" si="222"/>
        <v>0</v>
      </c>
      <c r="E334" s="672">
        <f t="shared" si="222"/>
        <v>0</v>
      </c>
      <c r="F334" s="672">
        <f>SUM(F335)</f>
        <v>23738</v>
      </c>
      <c r="G334" s="672">
        <f t="shared" ref="G334:I334" si="223">SUM(G335)</f>
        <v>0</v>
      </c>
      <c r="H334" s="672">
        <f t="shared" si="223"/>
        <v>0</v>
      </c>
      <c r="I334" s="672">
        <f t="shared" si="223"/>
        <v>0</v>
      </c>
      <c r="J334" s="672">
        <f>SUM(C334+E334+F334+H334)</f>
        <v>113762</v>
      </c>
      <c r="K334" s="672">
        <f>SUM(D334+G334+I334)</f>
        <v>0</v>
      </c>
      <c r="L334" s="672">
        <f>SUM(J334:K334)</f>
        <v>113762</v>
      </c>
      <c r="M334" s="672">
        <f>SUM(M335)</f>
        <v>196536</v>
      </c>
      <c r="N334" s="672">
        <f>SUM(N335)</f>
        <v>42396</v>
      </c>
      <c r="O334" s="672">
        <f>SUM(L334:N334)</f>
        <v>352694</v>
      </c>
    </row>
    <row r="335" spans="1:16" s="677" customFormat="1" x14ac:dyDescent="0.25">
      <c r="A335" s="683"/>
      <c r="B335" s="675" t="s">
        <v>386</v>
      </c>
      <c r="C335" s="675">
        <v>90024</v>
      </c>
      <c r="D335" s="675"/>
      <c r="E335" s="675"/>
      <c r="F335" s="675">
        <v>23738</v>
      </c>
      <c r="G335" s="675"/>
      <c r="H335" s="675"/>
      <c r="I335" s="675"/>
      <c r="J335" s="676">
        <f>SUM(C335+E335+F335+H335)</f>
        <v>113762</v>
      </c>
      <c r="K335" s="676">
        <f>SUM(D335+G335+I335)</f>
        <v>0</v>
      </c>
      <c r="L335" s="676">
        <f>SUM(J335:K335)</f>
        <v>113762</v>
      </c>
      <c r="M335" s="676">
        <v>196536</v>
      </c>
      <c r="N335" s="676">
        <v>42396</v>
      </c>
      <c r="O335" s="676">
        <f>SUM(L335:N335)</f>
        <v>352694</v>
      </c>
    </row>
    <row r="336" spans="1:16" s="677" customFormat="1" x14ac:dyDescent="0.25">
      <c r="A336" s="683"/>
      <c r="B336" s="675" t="s">
        <v>132</v>
      </c>
      <c r="C336" s="675"/>
      <c r="D336" s="675"/>
      <c r="E336" s="675"/>
      <c r="F336" s="675"/>
      <c r="G336" s="675"/>
      <c r="H336" s="675"/>
      <c r="I336" s="675"/>
      <c r="J336" s="676"/>
      <c r="K336" s="676"/>
      <c r="L336" s="676"/>
      <c r="M336" s="676"/>
      <c r="N336" s="676"/>
      <c r="O336" s="676"/>
    </row>
    <row r="337" spans="1:15" s="677" customFormat="1" ht="32.25" thickBot="1" x14ac:dyDescent="0.3">
      <c r="A337" s="683"/>
      <c r="B337" s="678" t="s">
        <v>1235</v>
      </c>
      <c r="C337" s="678"/>
      <c r="D337" s="678"/>
      <c r="E337" s="678"/>
      <c r="F337" s="678"/>
      <c r="G337" s="678"/>
      <c r="H337" s="678"/>
      <c r="I337" s="678"/>
      <c r="J337" s="678">
        <f t="shared" ref="J337" si="224">SUM(C337+E337+F337+H337)</f>
        <v>0</v>
      </c>
      <c r="K337" s="678">
        <f t="shared" ref="K337" si="225">SUM(D337+G337+I337)</f>
        <v>0</v>
      </c>
      <c r="L337" s="678">
        <f t="shared" ref="L337" si="226">SUM(J337:K337)</f>
        <v>0</v>
      </c>
      <c r="M337" s="678">
        <v>-1</v>
      </c>
      <c r="N337" s="678">
        <v>1</v>
      </c>
      <c r="O337" s="678">
        <f t="shared" ref="O337" si="227">SUM(L337:N337)</f>
        <v>0</v>
      </c>
    </row>
    <row r="338" spans="1:15" ht="17.25" thickTop="1" thickBot="1" x14ac:dyDescent="0.3">
      <c r="A338" s="667"/>
      <c r="B338" s="680" t="s">
        <v>379</v>
      </c>
      <c r="C338" s="680">
        <f>+C334+C337</f>
        <v>90024</v>
      </c>
      <c r="D338" s="680">
        <f t="shared" ref="D338:O338" si="228">+D334+D337</f>
        <v>0</v>
      </c>
      <c r="E338" s="680">
        <f t="shared" si="228"/>
        <v>0</v>
      </c>
      <c r="F338" s="680">
        <f t="shared" si="228"/>
        <v>23738</v>
      </c>
      <c r="G338" s="680">
        <f t="shared" si="228"/>
        <v>0</v>
      </c>
      <c r="H338" s="680">
        <f t="shared" si="228"/>
        <v>0</v>
      </c>
      <c r="I338" s="680">
        <f t="shared" si="228"/>
        <v>0</v>
      </c>
      <c r="J338" s="680">
        <f t="shared" si="228"/>
        <v>113762</v>
      </c>
      <c r="K338" s="680">
        <f t="shared" si="228"/>
        <v>0</v>
      </c>
      <c r="L338" s="680">
        <f t="shared" si="228"/>
        <v>113762</v>
      </c>
      <c r="M338" s="680">
        <f t="shared" si="228"/>
        <v>196535</v>
      </c>
      <c r="N338" s="680">
        <f t="shared" si="228"/>
        <v>42397</v>
      </c>
      <c r="O338" s="680">
        <f t="shared" si="228"/>
        <v>352694</v>
      </c>
    </row>
    <row r="339" spans="1:15" ht="17.25" thickTop="1" thickBot="1" x14ac:dyDescent="0.3">
      <c r="A339" s="667"/>
      <c r="B339" s="680" t="s">
        <v>385</v>
      </c>
      <c r="C339" s="680">
        <f>+C335+C337</f>
        <v>90024</v>
      </c>
      <c r="D339" s="680">
        <f t="shared" ref="D339:O339" si="229">+D335+D337</f>
        <v>0</v>
      </c>
      <c r="E339" s="680">
        <f t="shared" si="229"/>
        <v>0</v>
      </c>
      <c r="F339" s="680">
        <f t="shared" si="229"/>
        <v>23738</v>
      </c>
      <c r="G339" s="680">
        <f t="shared" si="229"/>
        <v>0</v>
      </c>
      <c r="H339" s="680">
        <f t="shared" si="229"/>
        <v>0</v>
      </c>
      <c r="I339" s="680">
        <f t="shared" si="229"/>
        <v>0</v>
      </c>
      <c r="J339" s="680">
        <f t="shared" si="229"/>
        <v>113762</v>
      </c>
      <c r="K339" s="680">
        <f t="shared" si="229"/>
        <v>0</v>
      </c>
      <c r="L339" s="680">
        <f t="shared" si="229"/>
        <v>113762</v>
      </c>
      <c r="M339" s="680">
        <f t="shared" si="229"/>
        <v>196535</v>
      </c>
      <c r="N339" s="680">
        <f t="shared" si="229"/>
        <v>42397</v>
      </c>
      <c r="O339" s="680">
        <f t="shared" si="229"/>
        <v>352694</v>
      </c>
    </row>
    <row r="340" spans="1:15" ht="16.5" thickTop="1" x14ac:dyDescent="0.25">
      <c r="A340" s="671" t="s">
        <v>20</v>
      </c>
      <c r="B340" s="681" t="s">
        <v>387</v>
      </c>
      <c r="C340" s="681"/>
      <c r="D340" s="681"/>
      <c r="E340" s="681"/>
      <c r="F340" s="681"/>
      <c r="G340" s="681"/>
      <c r="H340" s="681"/>
      <c r="I340" s="681"/>
      <c r="J340" s="681"/>
      <c r="K340" s="681"/>
      <c r="L340" s="681"/>
      <c r="M340" s="681"/>
      <c r="N340" s="681"/>
      <c r="O340" s="681"/>
    </row>
    <row r="341" spans="1:15" x14ac:dyDescent="0.25">
      <c r="A341" s="701"/>
      <c r="B341" s="673" t="s">
        <v>347</v>
      </c>
      <c r="C341" s="673">
        <f t="shared" ref="C341:E341" si="230">SUM(C342)</f>
        <v>59141</v>
      </c>
      <c r="D341" s="673">
        <f t="shared" si="230"/>
        <v>0</v>
      </c>
      <c r="E341" s="673">
        <f t="shared" si="230"/>
        <v>0</v>
      </c>
      <c r="F341" s="673">
        <f>SUM(F342)</f>
        <v>120004</v>
      </c>
      <c r="G341" s="673">
        <f t="shared" ref="G341:I341" si="231">SUM(G342)</f>
        <v>0</v>
      </c>
      <c r="H341" s="673">
        <f t="shared" si="231"/>
        <v>0</v>
      </c>
      <c r="I341" s="673">
        <f t="shared" si="231"/>
        <v>0</v>
      </c>
      <c r="J341" s="673">
        <f>SUM(C341+E341+F341+H341)</f>
        <v>179145</v>
      </c>
      <c r="K341" s="673">
        <f>SUM(D341+G341+I341)</f>
        <v>0</v>
      </c>
      <c r="L341" s="673">
        <f>SUM(J341:K341)</f>
        <v>179145</v>
      </c>
      <c r="M341" s="673">
        <f>SUM(M342)</f>
        <v>995652</v>
      </c>
      <c r="N341" s="673">
        <f>SUM(N342)</f>
        <v>146573</v>
      </c>
      <c r="O341" s="673">
        <f>SUM(L341:N341)</f>
        <v>1321370</v>
      </c>
    </row>
    <row r="342" spans="1:15" s="677" customFormat="1" x14ac:dyDescent="0.25">
      <c r="A342" s="687"/>
      <c r="B342" s="675" t="s">
        <v>386</v>
      </c>
      <c r="C342" s="675">
        <v>59141</v>
      </c>
      <c r="D342" s="675"/>
      <c r="E342" s="675"/>
      <c r="F342" s="675">
        <v>120004</v>
      </c>
      <c r="G342" s="675"/>
      <c r="H342" s="675"/>
      <c r="I342" s="675"/>
      <c r="J342" s="676">
        <f>SUM(C342+E342+F342+H342)</f>
        <v>179145</v>
      </c>
      <c r="K342" s="676">
        <f>SUM(D342+G342+I342)</f>
        <v>0</v>
      </c>
      <c r="L342" s="676">
        <f>SUM(J342:K342)</f>
        <v>179145</v>
      </c>
      <c r="M342" s="676">
        <v>995652</v>
      </c>
      <c r="N342" s="676">
        <v>146573</v>
      </c>
      <c r="O342" s="676">
        <f>SUM(L342:N342)</f>
        <v>1321370</v>
      </c>
    </row>
    <row r="343" spans="1:15" s="677" customFormat="1" x14ac:dyDescent="0.25">
      <c r="A343" s="687"/>
      <c r="B343" s="675" t="s">
        <v>132</v>
      </c>
      <c r="C343" s="675"/>
      <c r="D343" s="675"/>
      <c r="E343" s="675"/>
      <c r="F343" s="675"/>
      <c r="G343" s="675"/>
      <c r="H343" s="675"/>
      <c r="I343" s="675"/>
      <c r="J343" s="676"/>
      <c r="K343" s="676"/>
      <c r="L343" s="676"/>
      <c r="M343" s="676"/>
      <c r="N343" s="676"/>
      <c r="O343" s="676"/>
    </row>
    <row r="344" spans="1:15" s="677" customFormat="1" ht="31.5" x14ac:dyDescent="0.25">
      <c r="A344" s="687"/>
      <c r="B344" s="678" t="s">
        <v>1235</v>
      </c>
      <c r="C344" s="678"/>
      <c r="D344" s="678"/>
      <c r="E344" s="678"/>
      <c r="F344" s="678"/>
      <c r="G344" s="678"/>
      <c r="H344" s="678"/>
      <c r="I344" s="678"/>
      <c r="J344" s="678">
        <f t="shared" ref="J344:J348" si="232">SUM(C344+E344+F344+H344)</f>
        <v>0</v>
      </c>
      <c r="K344" s="678">
        <f t="shared" ref="K344:K348" si="233">SUM(D344+G344+I344)</f>
        <v>0</v>
      </c>
      <c r="L344" s="678">
        <f t="shared" ref="L344:L348" si="234">SUM(J344:K344)</f>
        <v>0</v>
      </c>
      <c r="M344" s="678">
        <v>28</v>
      </c>
      <c r="N344" s="678">
        <v>-28</v>
      </c>
      <c r="O344" s="678">
        <f t="shared" ref="O344:O348" si="235">SUM(L344:N344)</f>
        <v>0</v>
      </c>
    </row>
    <row r="345" spans="1:15" s="677" customFormat="1" ht="31.5" x14ac:dyDescent="0.25">
      <c r="A345" s="687"/>
      <c r="B345" s="678" t="s">
        <v>1236</v>
      </c>
      <c r="C345" s="678"/>
      <c r="D345" s="678"/>
      <c r="E345" s="678"/>
      <c r="F345" s="678"/>
      <c r="G345" s="678"/>
      <c r="H345" s="678"/>
      <c r="I345" s="678"/>
      <c r="J345" s="678">
        <f t="shared" si="232"/>
        <v>0</v>
      </c>
      <c r="K345" s="678">
        <f t="shared" si="233"/>
        <v>0</v>
      </c>
      <c r="L345" s="678">
        <f t="shared" si="234"/>
        <v>0</v>
      </c>
      <c r="M345" s="678">
        <v>-23</v>
      </c>
      <c r="N345" s="678"/>
      <c r="O345" s="678">
        <f t="shared" si="235"/>
        <v>-23</v>
      </c>
    </row>
    <row r="346" spans="1:15" s="677" customFormat="1" ht="47.25" x14ac:dyDescent="0.25">
      <c r="A346" s="687"/>
      <c r="B346" s="678" t="s">
        <v>1238</v>
      </c>
      <c r="C346" s="678">
        <v>3000</v>
      </c>
      <c r="D346" s="678"/>
      <c r="E346" s="678"/>
      <c r="F346" s="678"/>
      <c r="G346" s="678"/>
      <c r="H346" s="678"/>
      <c r="I346" s="678"/>
      <c r="J346" s="678">
        <f t="shared" si="232"/>
        <v>3000</v>
      </c>
      <c r="K346" s="678">
        <f t="shared" si="233"/>
        <v>0</v>
      </c>
      <c r="L346" s="678">
        <f t="shared" si="234"/>
        <v>3000</v>
      </c>
      <c r="M346" s="678"/>
      <c r="N346" s="678"/>
      <c r="O346" s="678">
        <f t="shared" si="235"/>
        <v>3000</v>
      </c>
    </row>
    <row r="347" spans="1:15" s="677" customFormat="1" ht="47.25" x14ac:dyDescent="0.25">
      <c r="A347" s="687"/>
      <c r="B347" s="678" t="s">
        <v>1238</v>
      </c>
      <c r="C347" s="678">
        <v>1025</v>
      </c>
      <c r="D347" s="678"/>
      <c r="E347" s="678"/>
      <c r="F347" s="678"/>
      <c r="G347" s="678"/>
      <c r="H347" s="678"/>
      <c r="I347" s="678"/>
      <c r="J347" s="678">
        <f t="shared" si="232"/>
        <v>1025</v>
      </c>
      <c r="K347" s="678">
        <f t="shared" si="233"/>
        <v>0</v>
      </c>
      <c r="L347" s="678">
        <f t="shared" si="234"/>
        <v>1025</v>
      </c>
      <c r="M347" s="678"/>
      <c r="N347" s="678"/>
      <c r="O347" s="678">
        <f t="shared" si="235"/>
        <v>1025</v>
      </c>
    </row>
    <row r="348" spans="1:15" s="677" customFormat="1" ht="32.25" thickBot="1" x14ac:dyDescent="0.3">
      <c r="A348" s="687"/>
      <c r="B348" s="679" t="s">
        <v>915</v>
      </c>
      <c r="C348" s="678"/>
      <c r="D348" s="678"/>
      <c r="E348" s="678"/>
      <c r="F348" s="678"/>
      <c r="G348" s="678">
        <v>387</v>
      </c>
      <c r="H348" s="678"/>
      <c r="I348" s="678"/>
      <c r="J348" s="678">
        <f t="shared" si="232"/>
        <v>0</v>
      </c>
      <c r="K348" s="678">
        <f t="shared" si="233"/>
        <v>387</v>
      </c>
      <c r="L348" s="678">
        <f t="shared" si="234"/>
        <v>387</v>
      </c>
      <c r="M348" s="678"/>
      <c r="N348" s="678"/>
      <c r="O348" s="678">
        <f t="shared" si="235"/>
        <v>387</v>
      </c>
    </row>
    <row r="349" spans="1:15" ht="17.25" thickTop="1" thickBot="1" x14ac:dyDescent="0.3">
      <c r="A349" s="667"/>
      <c r="B349" s="680" t="s">
        <v>379</v>
      </c>
      <c r="C349" s="680">
        <f>+C341+C344+C345+C346+C347+C348</f>
        <v>63166</v>
      </c>
      <c r="D349" s="680">
        <f t="shared" ref="D349:O349" si="236">+D341+D344+D345+D346+D347+D348</f>
        <v>0</v>
      </c>
      <c r="E349" s="680">
        <f t="shared" si="236"/>
        <v>0</v>
      </c>
      <c r="F349" s="680">
        <f t="shared" si="236"/>
        <v>120004</v>
      </c>
      <c r="G349" s="680">
        <f t="shared" si="236"/>
        <v>387</v>
      </c>
      <c r="H349" s="680">
        <f t="shared" si="236"/>
        <v>0</v>
      </c>
      <c r="I349" s="680">
        <f t="shared" si="236"/>
        <v>0</v>
      </c>
      <c r="J349" s="680">
        <f t="shared" si="236"/>
        <v>183170</v>
      </c>
      <c r="K349" s="680">
        <f t="shared" si="236"/>
        <v>387</v>
      </c>
      <c r="L349" s="680">
        <f t="shared" si="236"/>
        <v>183557</v>
      </c>
      <c r="M349" s="680">
        <f t="shared" si="236"/>
        <v>995657</v>
      </c>
      <c r="N349" s="680">
        <f t="shared" si="236"/>
        <v>146545</v>
      </c>
      <c r="O349" s="680">
        <f t="shared" si="236"/>
        <v>1325759</v>
      </c>
    </row>
    <row r="350" spans="1:15" ht="17.25" thickTop="1" thickBot="1" x14ac:dyDescent="0.3">
      <c r="A350" s="667"/>
      <c r="B350" s="680" t="s">
        <v>385</v>
      </c>
      <c r="C350" s="680">
        <f>+C342+C344+C345+C346+C347+C348</f>
        <v>63166</v>
      </c>
      <c r="D350" s="680">
        <f t="shared" ref="D350:O350" si="237">+D342+D344+D345+D346+D347+D348</f>
        <v>0</v>
      </c>
      <c r="E350" s="680">
        <f t="shared" si="237"/>
        <v>0</v>
      </c>
      <c r="F350" s="680">
        <f t="shared" si="237"/>
        <v>120004</v>
      </c>
      <c r="G350" s="680">
        <f t="shared" si="237"/>
        <v>387</v>
      </c>
      <c r="H350" s="680">
        <f t="shared" si="237"/>
        <v>0</v>
      </c>
      <c r="I350" s="680">
        <f t="shared" si="237"/>
        <v>0</v>
      </c>
      <c r="J350" s="680">
        <f t="shared" si="237"/>
        <v>183170</v>
      </c>
      <c r="K350" s="680">
        <f t="shared" si="237"/>
        <v>387</v>
      </c>
      <c r="L350" s="680">
        <f t="shared" si="237"/>
        <v>183557</v>
      </c>
      <c r="M350" s="680">
        <f t="shared" si="237"/>
        <v>995657</v>
      </c>
      <c r="N350" s="680">
        <f t="shared" si="237"/>
        <v>146545</v>
      </c>
      <c r="O350" s="680">
        <f t="shared" si="237"/>
        <v>1325759</v>
      </c>
    </row>
    <row r="351" spans="1:15" ht="16.5" thickTop="1" x14ac:dyDescent="0.25">
      <c r="A351" s="671" t="s">
        <v>21</v>
      </c>
      <c r="B351" s="681" t="s">
        <v>563</v>
      </c>
      <c r="C351" s="681"/>
      <c r="D351" s="681"/>
      <c r="E351" s="681"/>
      <c r="F351" s="681"/>
      <c r="G351" s="681"/>
      <c r="H351" s="681"/>
      <c r="I351" s="681"/>
      <c r="J351" s="681"/>
      <c r="K351" s="681"/>
      <c r="L351" s="681"/>
      <c r="M351" s="681"/>
      <c r="N351" s="681"/>
      <c r="O351" s="681"/>
    </row>
    <row r="352" spans="1:15" s="677" customFormat="1" x14ac:dyDescent="0.25">
      <c r="A352" s="687"/>
      <c r="B352" s="678" t="s">
        <v>347</v>
      </c>
      <c r="C352" s="675">
        <f t="shared" ref="C352:E352" si="238">SUM(C353)</f>
        <v>68422</v>
      </c>
      <c r="D352" s="675">
        <f t="shared" si="238"/>
        <v>0</v>
      </c>
      <c r="E352" s="675">
        <f t="shared" si="238"/>
        <v>0</v>
      </c>
      <c r="F352" s="675">
        <f>SUM(F353)</f>
        <v>36508</v>
      </c>
      <c r="G352" s="675">
        <f t="shared" ref="G352:I352" si="239">SUM(G353)</f>
        <v>0</v>
      </c>
      <c r="H352" s="675">
        <f t="shared" si="239"/>
        <v>0</v>
      </c>
      <c r="I352" s="675">
        <f t="shared" si="239"/>
        <v>0</v>
      </c>
      <c r="J352" s="678">
        <f t="shared" ref="J352:J356" si="240">SUM(C352+E352+F352+H352)</f>
        <v>104930</v>
      </c>
      <c r="K352" s="678">
        <f t="shared" ref="K352:K356" si="241">SUM(D352+G352+I352)</f>
        <v>0</v>
      </c>
      <c r="L352" s="678">
        <f t="shared" ref="L352:L356" si="242">SUM(J352:K352)</f>
        <v>104930</v>
      </c>
      <c r="M352" s="676">
        <f>SUM(M353)</f>
        <v>125849</v>
      </c>
      <c r="N352" s="676">
        <f>SUM(N353)</f>
        <v>64553</v>
      </c>
      <c r="O352" s="678">
        <f t="shared" ref="O352:O356" si="243">SUM(L352:N352)</f>
        <v>295332</v>
      </c>
    </row>
    <row r="353" spans="1:15" s="677" customFormat="1" x14ac:dyDescent="0.25">
      <c r="A353" s="687"/>
      <c r="B353" s="675" t="s">
        <v>661</v>
      </c>
      <c r="C353" s="678">
        <v>68422</v>
      </c>
      <c r="D353" s="678"/>
      <c r="E353" s="678"/>
      <c r="F353" s="678">
        <v>36508</v>
      </c>
      <c r="G353" s="678"/>
      <c r="H353" s="678"/>
      <c r="I353" s="678"/>
      <c r="J353" s="678">
        <f t="shared" si="240"/>
        <v>104930</v>
      </c>
      <c r="K353" s="678">
        <f t="shared" si="241"/>
        <v>0</v>
      </c>
      <c r="L353" s="678">
        <f t="shared" si="242"/>
        <v>104930</v>
      </c>
      <c r="M353" s="678">
        <v>125849</v>
      </c>
      <c r="N353" s="678">
        <v>64553</v>
      </c>
      <c r="O353" s="678">
        <f t="shared" si="243"/>
        <v>295332</v>
      </c>
    </row>
    <row r="354" spans="1:15" s="677" customFormat="1" x14ac:dyDescent="0.25">
      <c r="A354" s="687"/>
      <c r="B354" s="675" t="s">
        <v>132</v>
      </c>
      <c r="C354" s="675"/>
      <c r="D354" s="675"/>
      <c r="E354" s="675"/>
      <c r="F354" s="675"/>
      <c r="G354" s="675"/>
      <c r="H354" s="675"/>
      <c r="I354" s="675"/>
      <c r="J354" s="678"/>
      <c r="K354" s="678"/>
      <c r="L354" s="678"/>
      <c r="M354" s="676"/>
      <c r="N354" s="676"/>
      <c r="O354" s="678"/>
    </row>
    <row r="355" spans="1:15" s="677" customFormat="1" ht="47.25" x14ac:dyDescent="0.25">
      <c r="A355" s="687"/>
      <c r="B355" s="678" t="s">
        <v>1238</v>
      </c>
      <c r="C355" s="678">
        <v>800</v>
      </c>
      <c r="D355" s="675"/>
      <c r="E355" s="675"/>
      <c r="F355" s="675"/>
      <c r="G355" s="675"/>
      <c r="H355" s="675"/>
      <c r="I355" s="675"/>
      <c r="J355" s="678">
        <f t="shared" si="240"/>
        <v>800</v>
      </c>
      <c r="K355" s="678">
        <f t="shared" si="241"/>
        <v>0</v>
      </c>
      <c r="L355" s="678">
        <f t="shared" si="242"/>
        <v>800</v>
      </c>
      <c r="M355" s="678"/>
      <c r="N355" s="676"/>
      <c r="O355" s="678">
        <f t="shared" si="243"/>
        <v>800</v>
      </c>
    </row>
    <row r="356" spans="1:15" s="677" customFormat="1" ht="32.25" thickBot="1" x14ac:dyDescent="0.3">
      <c r="A356" s="687"/>
      <c r="B356" s="679" t="s">
        <v>915</v>
      </c>
      <c r="C356" s="675"/>
      <c r="D356" s="675"/>
      <c r="E356" s="675"/>
      <c r="F356" s="678">
        <v>12225</v>
      </c>
      <c r="G356" s="675"/>
      <c r="H356" s="675"/>
      <c r="I356" s="675"/>
      <c r="J356" s="678">
        <f t="shared" si="240"/>
        <v>12225</v>
      </c>
      <c r="K356" s="678">
        <f t="shared" si="241"/>
        <v>0</v>
      </c>
      <c r="L356" s="678">
        <f t="shared" si="242"/>
        <v>12225</v>
      </c>
      <c r="M356" s="678"/>
      <c r="N356" s="676"/>
      <c r="O356" s="678">
        <f t="shared" si="243"/>
        <v>12225</v>
      </c>
    </row>
    <row r="357" spans="1:15" ht="17.25" thickTop="1" thickBot="1" x14ac:dyDescent="0.3">
      <c r="A357" s="667"/>
      <c r="B357" s="680" t="s">
        <v>379</v>
      </c>
      <c r="C357" s="680">
        <f>+C352+C355+C356</f>
        <v>69222</v>
      </c>
      <c r="D357" s="680">
        <f t="shared" ref="D357:O357" si="244">+D352+D355+D356</f>
        <v>0</v>
      </c>
      <c r="E357" s="680">
        <f t="shared" si="244"/>
        <v>0</v>
      </c>
      <c r="F357" s="680">
        <f t="shared" si="244"/>
        <v>48733</v>
      </c>
      <c r="G357" s="680">
        <f t="shared" si="244"/>
        <v>0</v>
      </c>
      <c r="H357" s="680">
        <f t="shared" si="244"/>
        <v>0</v>
      </c>
      <c r="I357" s="680">
        <f t="shared" si="244"/>
        <v>0</v>
      </c>
      <c r="J357" s="680">
        <f t="shared" si="244"/>
        <v>117955</v>
      </c>
      <c r="K357" s="680">
        <f t="shared" si="244"/>
        <v>0</v>
      </c>
      <c r="L357" s="680">
        <f t="shared" si="244"/>
        <v>117955</v>
      </c>
      <c r="M357" s="680">
        <f t="shared" si="244"/>
        <v>125849</v>
      </c>
      <c r="N357" s="680">
        <f t="shared" si="244"/>
        <v>64553</v>
      </c>
      <c r="O357" s="680">
        <f t="shared" si="244"/>
        <v>308357</v>
      </c>
    </row>
    <row r="358" spans="1:15" ht="17.25" thickTop="1" thickBot="1" x14ac:dyDescent="0.3">
      <c r="A358" s="667"/>
      <c r="B358" s="680" t="s">
        <v>385</v>
      </c>
      <c r="C358" s="680">
        <f>+C353+C355+C356</f>
        <v>69222</v>
      </c>
      <c r="D358" s="680">
        <f t="shared" ref="D358:O358" si="245">+D353+D355+D356</f>
        <v>0</v>
      </c>
      <c r="E358" s="680">
        <f t="shared" si="245"/>
        <v>0</v>
      </c>
      <c r="F358" s="680">
        <f t="shared" si="245"/>
        <v>48733</v>
      </c>
      <c r="G358" s="680">
        <f t="shared" si="245"/>
        <v>0</v>
      </c>
      <c r="H358" s="680">
        <f t="shared" si="245"/>
        <v>0</v>
      </c>
      <c r="I358" s="680">
        <f t="shared" si="245"/>
        <v>0</v>
      </c>
      <c r="J358" s="680">
        <f t="shared" si="245"/>
        <v>117955</v>
      </c>
      <c r="K358" s="680">
        <f t="shared" si="245"/>
        <v>0</v>
      </c>
      <c r="L358" s="680">
        <f t="shared" si="245"/>
        <v>117955</v>
      </c>
      <c r="M358" s="680">
        <f t="shared" si="245"/>
        <v>125849</v>
      </c>
      <c r="N358" s="680">
        <f t="shared" si="245"/>
        <v>64553</v>
      </c>
      <c r="O358" s="680">
        <f t="shared" si="245"/>
        <v>308357</v>
      </c>
    </row>
    <row r="359" spans="1:15" ht="32.25" thickTop="1" x14ac:dyDescent="0.25">
      <c r="A359" s="671" t="s">
        <v>561</v>
      </c>
      <c r="B359" s="681" t="s">
        <v>786</v>
      </c>
      <c r="C359" s="681"/>
      <c r="D359" s="681"/>
      <c r="E359" s="681"/>
      <c r="F359" s="681"/>
      <c r="G359" s="681"/>
      <c r="H359" s="681"/>
      <c r="I359" s="681"/>
      <c r="J359" s="681"/>
      <c r="K359" s="681"/>
      <c r="L359" s="681"/>
      <c r="M359" s="681"/>
      <c r="N359" s="681"/>
      <c r="O359" s="681"/>
    </row>
    <row r="360" spans="1:15" x14ac:dyDescent="0.25">
      <c r="A360" s="671"/>
      <c r="B360" s="673" t="s">
        <v>347</v>
      </c>
      <c r="C360" s="673">
        <f t="shared" ref="C360:E360" si="246">SUM(C361:C362)</f>
        <v>12456</v>
      </c>
      <c r="D360" s="673">
        <f t="shared" si="246"/>
        <v>0</v>
      </c>
      <c r="E360" s="673">
        <f t="shared" si="246"/>
        <v>0</v>
      </c>
      <c r="F360" s="673">
        <f>SUM(F361:F362)</f>
        <v>17076</v>
      </c>
      <c r="G360" s="673">
        <f t="shared" ref="G360:I360" si="247">SUM(G361:G362)</f>
        <v>0</v>
      </c>
      <c r="H360" s="673">
        <f t="shared" si="247"/>
        <v>0</v>
      </c>
      <c r="I360" s="673">
        <f t="shared" si="247"/>
        <v>0</v>
      </c>
      <c r="J360" s="673">
        <f t="shared" ref="J360:J369" si="248">SUM(C360+E360+F360+H360)</f>
        <v>29532</v>
      </c>
      <c r="K360" s="673">
        <f t="shared" ref="K360:K369" si="249">SUM(D360+G360+I360)</f>
        <v>0</v>
      </c>
      <c r="L360" s="673">
        <f t="shared" ref="L360:L369" si="250">SUM(J360:K360)</f>
        <v>29532</v>
      </c>
      <c r="M360" s="673">
        <f>SUM(M361:M362)</f>
        <v>162950</v>
      </c>
      <c r="N360" s="673">
        <f>SUM(N361:N362)</f>
        <v>5771</v>
      </c>
      <c r="O360" s="673">
        <f t="shared" ref="O360:O369" si="251">SUM(L360:N360)</f>
        <v>198253</v>
      </c>
    </row>
    <row r="361" spans="1:15" s="677" customFormat="1" x14ac:dyDescent="0.25">
      <c r="A361" s="674"/>
      <c r="B361" s="675" t="s">
        <v>381</v>
      </c>
      <c r="C361" s="675">
        <v>12156</v>
      </c>
      <c r="D361" s="675"/>
      <c r="E361" s="675"/>
      <c r="F361" s="675">
        <v>17076</v>
      </c>
      <c r="G361" s="675"/>
      <c r="H361" s="675"/>
      <c r="I361" s="675"/>
      <c r="J361" s="676">
        <f t="shared" si="248"/>
        <v>29232</v>
      </c>
      <c r="K361" s="676">
        <f t="shared" si="249"/>
        <v>0</v>
      </c>
      <c r="L361" s="676">
        <f t="shared" si="250"/>
        <v>29232</v>
      </c>
      <c r="M361" s="676">
        <v>158827</v>
      </c>
      <c r="N361" s="676">
        <v>5771</v>
      </c>
      <c r="O361" s="676">
        <f t="shared" si="251"/>
        <v>193830</v>
      </c>
    </row>
    <row r="362" spans="1:15" s="677" customFormat="1" x14ac:dyDescent="0.25">
      <c r="A362" s="674"/>
      <c r="B362" s="675" t="s">
        <v>380</v>
      </c>
      <c r="C362" s="675">
        <v>300</v>
      </c>
      <c r="D362" s="675"/>
      <c r="E362" s="675"/>
      <c r="F362" s="675"/>
      <c r="G362" s="675"/>
      <c r="H362" s="675"/>
      <c r="I362" s="675"/>
      <c r="J362" s="675">
        <f t="shared" si="248"/>
        <v>300</v>
      </c>
      <c r="K362" s="675">
        <f t="shared" si="249"/>
        <v>0</v>
      </c>
      <c r="L362" s="675">
        <f t="shared" si="250"/>
        <v>300</v>
      </c>
      <c r="M362" s="675">
        <v>4123</v>
      </c>
      <c r="N362" s="675"/>
      <c r="O362" s="675">
        <f t="shared" si="251"/>
        <v>4423</v>
      </c>
    </row>
    <row r="363" spans="1:15" s="677" customFormat="1" x14ac:dyDescent="0.25">
      <c r="A363" s="674"/>
      <c r="B363" s="675" t="s">
        <v>131</v>
      </c>
      <c r="C363" s="678"/>
      <c r="D363" s="678"/>
      <c r="E363" s="678"/>
      <c r="F363" s="678"/>
      <c r="G363" s="678"/>
      <c r="H363" s="678"/>
      <c r="I363" s="678"/>
      <c r="J363" s="678"/>
      <c r="K363" s="678"/>
      <c r="L363" s="678"/>
      <c r="M363" s="678"/>
      <c r="N363" s="678"/>
      <c r="O363" s="678"/>
    </row>
    <row r="364" spans="1:15" s="677" customFormat="1" ht="31.5" x14ac:dyDescent="0.25">
      <c r="A364" s="674"/>
      <c r="B364" s="678" t="s">
        <v>1235</v>
      </c>
      <c r="C364" s="678"/>
      <c r="D364" s="678"/>
      <c r="E364" s="678"/>
      <c r="F364" s="678"/>
      <c r="G364" s="678"/>
      <c r="H364" s="678"/>
      <c r="I364" s="678"/>
      <c r="J364" s="678">
        <f t="shared" si="248"/>
        <v>0</v>
      </c>
      <c r="K364" s="678">
        <f t="shared" si="249"/>
        <v>0</v>
      </c>
      <c r="L364" s="678">
        <f t="shared" si="250"/>
        <v>0</v>
      </c>
      <c r="M364" s="678">
        <v>-422</v>
      </c>
      <c r="N364" s="678">
        <v>422</v>
      </c>
      <c r="O364" s="678">
        <f t="shared" si="251"/>
        <v>0</v>
      </c>
    </row>
    <row r="365" spans="1:15" s="677" customFormat="1" x14ac:dyDescent="0.25">
      <c r="A365" s="674"/>
      <c r="B365" s="675" t="s">
        <v>132</v>
      </c>
      <c r="C365" s="678"/>
      <c r="D365" s="678"/>
      <c r="E365" s="678"/>
      <c r="F365" s="678"/>
      <c r="G365" s="678"/>
      <c r="H365" s="678"/>
      <c r="I365" s="678"/>
      <c r="J365" s="678"/>
      <c r="K365" s="678"/>
      <c r="L365" s="678"/>
      <c r="M365" s="678"/>
      <c r="N365" s="678"/>
      <c r="O365" s="678"/>
    </row>
    <row r="366" spans="1:15" s="677" customFormat="1" ht="47.25" x14ac:dyDescent="0.25">
      <c r="A366" s="674"/>
      <c r="B366" s="678" t="s">
        <v>1239</v>
      </c>
      <c r="C366" s="678"/>
      <c r="D366" s="678"/>
      <c r="E366" s="678"/>
      <c r="F366" s="678"/>
      <c r="G366" s="678"/>
      <c r="H366" s="678"/>
      <c r="I366" s="678"/>
      <c r="J366" s="678">
        <f t="shared" si="248"/>
        <v>0</v>
      </c>
      <c r="K366" s="678">
        <f t="shared" si="249"/>
        <v>0</v>
      </c>
      <c r="L366" s="678">
        <f t="shared" si="250"/>
        <v>0</v>
      </c>
      <c r="M366" s="678">
        <v>-200</v>
      </c>
      <c r="N366" s="678"/>
      <c r="O366" s="678">
        <f t="shared" si="251"/>
        <v>-200</v>
      </c>
    </row>
    <row r="367" spans="1:15" ht="47.25" x14ac:dyDescent="0.25">
      <c r="A367" s="682"/>
      <c r="B367" s="686" t="s">
        <v>1240</v>
      </c>
      <c r="C367" s="672"/>
      <c r="D367" s="672"/>
      <c r="E367" s="672"/>
      <c r="F367" s="672"/>
      <c r="G367" s="672"/>
      <c r="H367" s="672"/>
      <c r="I367" s="672"/>
      <c r="J367" s="672">
        <f t="shared" si="248"/>
        <v>0</v>
      </c>
      <c r="K367" s="672">
        <f t="shared" si="249"/>
        <v>0</v>
      </c>
      <c r="L367" s="672">
        <f t="shared" si="250"/>
        <v>0</v>
      </c>
      <c r="M367" s="672">
        <v>-250</v>
      </c>
      <c r="N367" s="672"/>
      <c r="O367" s="672">
        <f t="shared" si="251"/>
        <v>-250</v>
      </c>
    </row>
    <row r="368" spans="1:15" ht="78.75" x14ac:dyDescent="0.25">
      <c r="A368" s="682"/>
      <c r="B368" s="686" t="s">
        <v>1241</v>
      </c>
      <c r="C368" s="672"/>
      <c r="D368" s="672"/>
      <c r="E368" s="672"/>
      <c r="F368" s="672"/>
      <c r="G368" s="672"/>
      <c r="H368" s="672"/>
      <c r="I368" s="672"/>
      <c r="J368" s="672">
        <f t="shared" si="248"/>
        <v>0</v>
      </c>
      <c r="K368" s="672">
        <f t="shared" si="249"/>
        <v>0</v>
      </c>
      <c r="L368" s="672">
        <f t="shared" si="250"/>
        <v>0</v>
      </c>
      <c r="M368" s="672">
        <v>100</v>
      </c>
      <c r="N368" s="672"/>
      <c r="O368" s="672">
        <f t="shared" si="251"/>
        <v>100</v>
      </c>
    </row>
    <row r="369" spans="1:16" ht="48" thickBot="1" x14ac:dyDescent="0.3">
      <c r="A369" s="951"/>
      <c r="B369" s="950" t="s">
        <v>1238</v>
      </c>
      <c r="C369" s="952">
        <v>1000</v>
      </c>
      <c r="D369" s="952"/>
      <c r="E369" s="952"/>
      <c r="F369" s="952"/>
      <c r="G369" s="952"/>
      <c r="H369" s="952"/>
      <c r="I369" s="952"/>
      <c r="J369" s="952">
        <f t="shared" si="248"/>
        <v>1000</v>
      </c>
      <c r="K369" s="952">
        <f t="shared" si="249"/>
        <v>0</v>
      </c>
      <c r="L369" s="952">
        <f t="shared" si="250"/>
        <v>1000</v>
      </c>
      <c r="M369" s="952"/>
      <c r="N369" s="952"/>
      <c r="O369" s="952">
        <f t="shared" si="251"/>
        <v>1000</v>
      </c>
    </row>
    <row r="370" spans="1:16" ht="17.25" thickTop="1" thickBot="1" x14ac:dyDescent="0.3">
      <c r="A370" s="667"/>
      <c r="B370" s="680" t="s">
        <v>379</v>
      </c>
      <c r="C370" s="680">
        <f>+C360+C364+C366+C367+C368+C369</f>
        <v>13456</v>
      </c>
      <c r="D370" s="680">
        <f t="shared" ref="D370:O370" si="252">+D360+D364+D366+D367+D368+D369</f>
        <v>0</v>
      </c>
      <c r="E370" s="680">
        <f t="shared" si="252"/>
        <v>0</v>
      </c>
      <c r="F370" s="680">
        <f t="shared" si="252"/>
        <v>17076</v>
      </c>
      <c r="G370" s="680">
        <f t="shared" si="252"/>
        <v>0</v>
      </c>
      <c r="H370" s="680">
        <f t="shared" si="252"/>
        <v>0</v>
      </c>
      <c r="I370" s="680">
        <f t="shared" si="252"/>
        <v>0</v>
      </c>
      <c r="J370" s="680">
        <f t="shared" si="252"/>
        <v>30532</v>
      </c>
      <c r="K370" s="680">
        <f t="shared" si="252"/>
        <v>0</v>
      </c>
      <c r="L370" s="680">
        <f t="shared" si="252"/>
        <v>30532</v>
      </c>
      <c r="M370" s="680">
        <f t="shared" si="252"/>
        <v>162178</v>
      </c>
      <c r="N370" s="680">
        <f t="shared" si="252"/>
        <v>6193</v>
      </c>
      <c r="O370" s="680">
        <f t="shared" si="252"/>
        <v>198903</v>
      </c>
      <c r="P370" s="659">
        <f>O371+O372</f>
        <v>198903</v>
      </c>
    </row>
    <row r="371" spans="1:16" ht="17.25" thickTop="1" thickBot="1" x14ac:dyDescent="0.3">
      <c r="A371" s="667"/>
      <c r="B371" s="680" t="s">
        <v>378</v>
      </c>
      <c r="C371" s="680">
        <f>+C361+C364</f>
        <v>12156</v>
      </c>
      <c r="D371" s="680">
        <f t="shared" ref="D371:O371" si="253">+D361+D364</f>
        <v>0</v>
      </c>
      <c r="E371" s="680">
        <f t="shared" si="253"/>
        <v>0</v>
      </c>
      <c r="F371" s="680">
        <f t="shared" si="253"/>
        <v>17076</v>
      </c>
      <c r="G371" s="680">
        <f t="shared" si="253"/>
        <v>0</v>
      </c>
      <c r="H371" s="680">
        <f t="shared" si="253"/>
        <v>0</v>
      </c>
      <c r="I371" s="680">
        <f t="shared" si="253"/>
        <v>0</v>
      </c>
      <c r="J371" s="680">
        <f t="shared" si="253"/>
        <v>29232</v>
      </c>
      <c r="K371" s="680">
        <f t="shared" si="253"/>
        <v>0</v>
      </c>
      <c r="L371" s="680">
        <f t="shared" si="253"/>
        <v>29232</v>
      </c>
      <c r="M371" s="680">
        <f t="shared" si="253"/>
        <v>158405</v>
      </c>
      <c r="N371" s="680">
        <f t="shared" si="253"/>
        <v>6193</v>
      </c>
      <c r="O371" s="680">
        <f t="shared" si="253"/>
        <v>193830</v>
      </c>
    </row>
    <row r="372" spans="1:16" ht="17.25" thickTop="1" thickBot="1" x14ac:dyDescent="0.3">
      <c r="A372" s="667"/>
      <c r="B372" s="680" t="s">
        <v>377</v>
      </c>
      <c r="C372" s="680">
        <f t="shared" ref="C372:O372" si="254">+C362+C366+C367+C368+C369</f>
        <v>1300</v>
      </c>
      <c r="D372" s="680">
        <f t="shared" si="254"/>
        <v>0</v>
      </c>
      <c r="E372" s="680">
        <f t="shared" si="254"/>
        <v>0</v>
      </c>
      <c r="F372" s="680">
        <f t="shared" si="254"/>
        <v>0</v>
      </c>
      <c r="G372" s="680">
        <f t="shared" si="254"/>
        <v>0</v>
      </c>
      <c r="H372" s="680">
        <f t="shared" si="254"/>
        <v>0</v>
      </c>
      <c r="I372" s="680">
        <f t="shared" si="254"/>
        <v>0</v>
      </c>
      <c r="J372" s="680">
        <f t="shared" si="254"/>
        <v>1300</v>
      </c>
      <c r="K372" s="680">
        <f t="shared" si="254"/>
        <v>0</v>
      </c>
      <c r="L372" s="680">
        <f t="shared" si="254"/>
        <v>1300</v>
      </c>
      <c r="M372" s="680">
        <f t="shared" si="254"/>
        <v>3773</v>
      </c>
      <c r="N372" s="680">
        <f t="shared" si="254"/>
        <v>0</v>
      </c>
      <c r="O372" s="680">
        <f t="shared" si="254"/>
        <v>5073</v>
      </c>
    </row>
    <row r="373" spans="1:16" ht="17.25" thickTop="1" thickBot="1" x14ac:dyDescent="0.3">
      <c r="A373" s="667"/>
      <c r="B373" s="680" t="s">
        <v>384</v>
      </c>
      <c r="C373" s="680">
        <f t="shared" ref="C373:O373" si="255">SUM(C297+C310+C323+C338+C349+C357+C370+C331)</f>
        <v>325948</v>
      </c>
      <c r="D373" s="680">
        <f t="shared" si="255"/>
        <v>22236</v>
      </c>
      <c r="E373" s="680">
        <f t="shared" si="255"/>
        <v>0</v>
      </c>
      <c r="F373" s="680">
        <f t="shared" si="255"/>
        <v>348685</v>
      </c>
      <c r="G373" s="680">
        <f t="shared" si="255"/>
        <v>387</v>
      </c>
      <c r="H373" s="680">
        <f t="shared" si="255"/>
        <v>215</v>
      </c>
      <c r="I373" s="680">
        <f t="shared" si="255"/>
        <v>0</v>
      </c>
      <c r="J373" s="680">
        <f t="shared" si="255"/>
        <v>674848</v>
      </c>
      <c r="K373" s="680">
        <f t="shared" si="255"/>
        <v>22623</v>
      </c>
      <c r="L373" s="680">
        <f t="shared" si="255"/>
        <v>697471</v>
      </c>
      <c r="M373" s="680">
        <f t="shared" si="255"/>
        <v>2729147</v>
      </c>
      <c r="N373" s="680">
        <f t="shared" si="255"/>
        <v>396305</v>
      </c>
      <c r="O373" s="680">
        <f t="shared" si="255"/>
        <v>3822923</v>
      </c>
    </row>
    <row r="374" spans="1:16" ht="17.25" thickTop="1" thickBot="1" x14ac:dyDescent="0.3">
      <c r="A374" s="667"/>
      <c r="B374" s="680" t="s">
        <v>383</v>
      </c>
      <c r="C374" s="680">
        <f t="shared" ref="C374:O374" si="256">SUM(C244+C279+C289+C373)</f>
        <v>1440654</v>
      </c>
      <c r="D374" s="680">
        <f t="shared" si="256"/>
        <v>22236</v>
      </c>
      <c r="E374" s="680">
        <f t="shared" si="256"/>
        <v>0</v>
      </c>
      <c r="F374" s="680">
        <f t="shared" si="256"/>
        <v>1265216</v>
      </c>
      <c r="G374" s="680">
        <f t="shared" si="256"/>
        <v>387</v>
      </c>
      <c r="H374" s="680">
        <f t="shared" si="256"/>
        <v>5624</v>
      </c>
      <c r="I374" s="680">
        <f t="shared" si="256"/>
        <v>2067</v>
      </c>
      <c r="J374" s="680">
        <f t="shared" si="256"/>
        <v>2711494</v>
      </c>
      <c r="K374" s="680">
        <f t="shared" si="256"/>
        <v>24690</v>
      </c>
      <c r="L374" s="680">
        <f t="shared" si="256"/>
        <v>2736184</v>
      </c>
      <c r="M374" s="680">
        <f t="shared" si="256"/>
        <v>9113459</v>
      </c>
      <c r="N374" s="680">
        <f t="shared" si="256"/>
        <v>810564</v>
      </c>
      <c r="O374" s="680">
        <f t="shared" si="256"/>
        <v>12660207</v>
      </c>
    </row>
    <row r="375" spans="1:16" ht="16.5" thickTop="1" x14ac:dyDescent="0.25">
      <c r="A375" s="671" t="s">
        <v>562</v>
      </c>
      <c r="B375" s="681" t="s">
        <v>382</v>
      </c>
      <c r="C375" s="681"/>
      <c r="D375" s="681"/>
      <c r="E375" s="681"/>
      <c r="F375" s="681"/>
      <c r="G375" s="681"/>
      <c r="H375" s="681"/>
      <c r="I375" s="681"/>
      <c r="J375" s="681"/>
      <c r="K375" s="681"/>
      <c r="L375" s="681"/>
      <c r="M375" s="681"/>
      <c r="N375" s="681"/>
      <c r="O375" s="681"/>
    </row>
    <row r="376" spans="1:16" x14ac:dyDescent="0.25">
      <c r="A376" s="682"/>
      <c r="B376" s="700" t="s">
        <v>347</v>
      </c>
      <c r="C376" s="700">
        <f>SUM(C377:C379)</f>
        <v>221826</v>
      </c>
      <c r="D376" s="700">
        <f t="shared" ref="D376:I376" si="257">SUM(D377:D379)</f>
        <v>0</v>
      </c>
      <c r="E376" s="700">
        <f t="shared" si="257"/>
        <v>1207</v>
      </c>
      <c r="F376" s="700">
        <f t="shared" si="257"/>
        <v>14759</v>
      </c>
      <c r="G376" s="700">
        <f t="shared" si="257"/>
        <v>4725</v>
      </c>
      <c r="H376" s="700">
        <f t="shared" si="257"/>
        <v>0</v>
      </c>
      <c r="I376" s="700">
        <f t="shared" si="257"/>
        <v>0</v>
      </c>
      <c r="J376" s="700">
        <f>SUM(C376+E376+F376+H376)</f>
        <v>237792</v>
      </c>
      <c r="K376" s="700">
        <f>SUM(D376+G376+I376)</f>
        <v>4725</v>
      </c>
      <c r="L376" s="700">
        <f>SUM(J376:K376)</f>
        <v>242517</v>
      </c>
      <c r="M376" s="700">
        <f>SUM(M377:M379)</f>
        <v>2410749</v>
      </c>
      <c r="N376" s="700">
        <f>SUM(N377:N379)</f>
        <v>30195</v>
      </c>
      <c r="O376" s="700">
        <f>SUM(L376:N376)</f>
        <v>2683461</v>
      </c>
    </row>
    <row r="377" spans="1:16" s="677" customFormat="1" x14ac:dyDescent="0.25">
      <c r="A377" s="683"/>
      <c r="B377" s="694" t="s">
        <v>381</v>
      </c>
      <c r="C377" s="694">
        <v>109408</v>
      </c>
      <c r="D377" s="694"/>
      <c r="E377" s="694"/>
      <c r="F377" s="694">
        <v>2355</v>
      </c>
      <c r="G377" s="694">
        <v>2750</v>
      </c>
      <c r="H377" s="694"/>
      <c r="I377" s="694"/>
      <c r="J377" s="696">
        <f>SUM(C377+E377+F377+H377)</f>
        <v>111763</v>
      </c>
      <c r="K377" s="696">
        <f>SUM(D377+G377+I377)</f>
        <v>2750</v>
      </c>
      <c r="L377" s="696">
        <f>SUM(J377:K377)</f>
        <v>114513</v>
      </c>
      <c r="M377" s="696">
        <v>1312009</v>
      </c>
      <c r="N377" s="696">
        <v>30195</v>
      </c>
      <c r="O377" s="696">
        <f>SUM(L377:N377)</f>
        <v>1456717</v>
      </c>
    </row>
    <row r="378" spans="1:16" s="677" customFormat="1" x14ac:dyDescent="0.25">
      <c r="A378" s="674"/>
      <c r="B378" s="675" t="s">
        <v>380</v>
      </c>
      <c r="C378" s="675">
        <v>37794</v>
      </c>
      <c r="D378" s="675"/>
      <c r="E378" s="675"/>
      <c r="F378" s="675">
        <v>11036</v>
      </c>
      <c r="G378" s="675"/>
      <c r="H378" s="675"/>
      <c r="I378" s="675"/>
      <c r="J378" s="676">
        <f>SUM(C378+E378+F378+H378)</f>
        <v>48830</v>
      </c>
      <c r="K378" s="676">
        <f>SUM(D378+G378+I378)</f>
        <v>0</v>
      </c>
      <c r="L378" s="676">
        <f>SUM(J378:K378)</f>
        <v>48830</v>
      </c>
      <c r="M378" s="676">
        <v>188584</v>
      </c>
      <c r="N378" s="676"/>
      <c r="O378" s="676">
        <f>SUM(L378:N378)</f>
        <v>237414</v>
      </c>
    </row>
    <row r="379" spans="1:16" s="677" customFormat="1" x14ac:dyDescent="0.25">
      <c r="A379" s="683"/>
      <c r="B379" s="676" t="s">
        <v>447</v>
      </c>
      <c r="C379" s="676">
        <v>74624</v>
      </c>
      <c r="D379" s="676"/>
      <c r="E379" s="676">
        <v>1207</v>
      </c>
      <c r="F379" s="676">
        <v>1368</v>
      </c>
      <c r="G379" s="676">
        <v>1975</v>
      </c>
      <c r="H379" s="676"/>
      <c r="I379" s="676"/>
      <c r="J379" s="676">
        <f>SUM(C379+E379+F379+H379)</f>
        <v>77199</v>
      </c>
      <c r="K379" s="676">
        <f>SUM(D379+G379+I379)</f>
        <v>1975</v>
      </c>
      <c r="L379" s="676">
        <f>SUM(J379:K379)</f>
        <v>79174</v>
      </c>
      <c r="M379" s="676">
        <v>910156</v>
      </c>
      <c r="N379" s="676"/>
      <c r="O379" s="676">
        <f>SUM(L379:N379)</f>
        <v>989330</v>
      </c>
    </row>
    <row r="380" spans="1:16" s="677" customFormat="1" x14ac:dyDescent="0.25">
      <c r="A380" s="683"/>
      <c r="B380" s="676" t="s">
        <v>131</v>
      </c>
      <c r="C380" s="678"/>
      <c r="D380" s="678"/>
      <c r="E380" s="678"/>
      <c r="F380" s="678"/>
      <c r="G380" s="678"/>
      <c r="H380" s="678"/>
      <c r="I380" s="678"/>
      <c r="J380" s="678"/>
      <c r="K380" s="678"/>
      <c r="L380" s="678"/>
      <c r="M380" s="678"/>
      <c r="N380" s="678"/>
      <c r="O380" s="678"/>
    </row>
    <row r="381" spans="1:16" s="677" customFormat="1" ht="31.5" x14ac:dyDescent="0.25">
      <c r="A381" s="683"/>
      <c r="B381" s="678" t="s">
        <v>1235</v>
      </c>
      <c r="C381" s="678"/>
      <c r="D381" s="678"/>
      <c r="E381" s="678"/>
      <c r="F381" s="678"/>
      <c r="G381" s="678"/>
      <c r="H381" s="678"/>
      <c r="I381" s="678"/>
      <c r="J381" s="678">
        <f t="shared" ref="J381:J385" si="258">SUM(C381+E381+F381+H381)</f>
        <v>0</v>
      </c>
      <c r="K381" s="678">
        <f t="shared" ref="K381:K385" si="259">SUM(D381+G381+I381)</f>
        <v>0</v>
      </c>
      <c r="L381" s="678">
        <f t="shared" ref="L381:L385" si="260">SUM(J381:K381)</f>
        <v>0</v>
      </c>
      <c r="M381" s="678">
        <v>-48</v>
      </c>
      <c r="N381" s="678">
        <v>48</v>
      </c>
      <c r="O381" s="678">
        <f t="shared" ref="O381:O385" si="261">SUM(L381:N381)</f>
        <v>0</v>
      </c>
    </row>
    <row r="382" spans="1:16" s="677" customFormat="1" ht="31.5" x14ac:dyDescent="0.25">
      <c r="A382" s="683"/>
      <c r="B382" s="678" t="s">
        <v>1236</v>
      </c>
      <c r="C382" s="678"/>
      <c r="D382" s="678"/>
      <c r="E382" s="678"/>
      <c r="F382" s="678"/>
      <c r="G382" s="678"/>
      <c r="H382" s="678"/>
      <c r="I382" s="678"/>
      <c r="J382" s="678">
        <f t="shared" si="258"/>
        <v>0</v>
      </c>
      <c r="K382" s="678">
        <f t="shared" si="259"/>
        <v>0</v>
      </c>
      <c r="L382" s="678">
        <f t="shared" si="260"/>
        <v>0</v>
      </c>
      <c r="M382" s="678">
        <v>-13</v>
      </c>
      <c r="N382" s="678"/>
      <c r="O382" s="678">
        <f t="shared" si="261"/>
        <v>-13</v>
      </c>
    </row>
    <row r="383" spans="1:16" s="677" customFormat="1" x14ac:dyDescent="0.25">
      <c r="A383" s="683"/>
      <c r="B383" s="678" t="s">
        <v>1225</v>
      </c>
      <c r="C383" s="678">
        <v>3</v>
      </c>
      <c r="D383" s="678"/>
      <c r="E383" s="678"/>
      <c r="F383" s="678"/>
      <c r="G383" s="678">
        <v>1</v>
      </c>
      <c r="H383" s="678"/>
      <c r="I383" s="678"/>
      <c r="J383" s="678">
        <f t="shared" si="258"/>
        <v>3</v>
      </c>
      <c r="K383" s="678">
        <f t="shared" si="259"/>
        <v>1</v>
      </c>
      <c r="L383" s="678">
        <f t="shared" si="260"/>
        <v>4</v>
      </c>
      <c r="M383" s="678">
        <v>-4</v>
      </c>
      <c r="N383" s="678"/>
      <c r="O383" s="678">
        <f t="shared" si="261"/>
        <v>0</v>
      </c>
    </row>
    <row r="384" spans="1:16" s="677" customFormat="1" x14ac:dyDescent="0.25">
      <c r="A384" s="683"/>
      <c r="B384" s="676" t="s">
        <v>132</v>
      </c>
      <c r="C384" s="678"/>
      <c r="D384" s="678"/>
      <c r="E384" s="678"/>
      <c r="F384" s="678"/>
      <c r="G384" s="678"/>
      <c r="H384" s="678"/>
      <c r="I384" s="678"/>
      <c r="J384" s="678"/>
      <c r="K384" s="678"/>
      <c r="L384" s="678"/>
      <c r="M384" s="678"/>
      <c r="N384" s="678"/>
      <c r="O384" s="678"/>
    </row>
    <row r="385" spans="1:16" s="677" customFormat="1" x14ac:dyDescent="0.25">
      <c r="A385" s="683"/>
      <c r="B385" s="678"/>
      <c r="C385" s="678"/>
      <c r="D385" s="678"/>
      <c r="E385" s="678"/>
      <c r="F385" s="678"/>
      <c r="G385" s="678"/>
      <c r="H385" s="678"/>
      <c r="I385" s="678"/>
      <c r="J385" s="678">
        <f t="shared" si="258"/>
        <v>0</v>
      </c>
      <c r="K385" s="678">
        <f t="shared" si="259"/>
        <v>0</v>
      </c>
      <c r="L385" s="678">
        <f t="shared" si="260"/>
        <v>0</v>
      </c>
      <c r="M385" s="678"/>
      <c r="N385" s="678"/>
      <c r="O385" s="678">
        <f t="shared" si="261"/>
        <v>0</v>
      </c>
    </row>
    <row r="386" spans="1:16" s="677" customFormat="1" x14ac:dyDescent="0.25">
      <c r="A386" s="683"/>
      <c r="B386" s="676" t="s">
        <v>333</v>
      </c>
      <c r="C386" s="678"/>
      <c r="D386" s="678"/>
      <c r="E386" s="678"/>
      <c r="F386" s="678"/>
      <c r="G386" s="678"/>
      <c r="H386" s="678"/>
      <c r="I386" s="678"/>
      <c r="J386" s="678"/>
      <c r="K386" s="678"/>
      <c r="L386" s="678"/>
      <c r="M386" s="678"/>
      <c r="N386" s="678"/>
      <c r="O386" s="678"/>
    </row>
    <row r="387" spans="1:16" s="677" customFormat="1" x14ac:dyDescent="0.25">
      <c r="A387" s="683"/>
      <c r="B387" s="678"/>
      <c r="C387" s="678"/>
      <c r="D387" s="678"/>
      <c r="E387" s="678"/>
      <c r="F387" s="678"/>
      <c r="G387" s="678"/>
      <c r="H387" s="678"/>
      <c r="I387" s="678"/>
      <c r="J387" s="678">
        <f t="shared" ref="J387:J388" si="262">SUM(C387+E387+F387+H387)</f>
        <v>0</v>
      </c>
      <c r="K387" s="678">
        <f t="shared" ref="K387:K388" si="263">SUM(D387+G387+I387)</f>
        <v>0</v>
      </c>
      <c r="L387" s="678">
        <f t="shared" ref="L387:L388" si="264">SUM(J387:K387)</f>
        <v>0</v>
      </c>
      <c r="M387" s="678"/>
      <c r="N387" s="678"/>
      <c r="O387" s="678">
        <f t="shared" ref="O387:O388" si="265">SUM(L387:N387)</f>
        <v>0</v>
      </c>
    </row>
    <row r="388" spans="1:16" s="677" customFormat="1" ht="16.5" thickBot="1" x14ac:dyDescent="0.3">
      <c r="A388" s="683"/>
      <c r="B388" s="678"/>
      <c r="C388" s="678"/>
      <c r="D388" s="678"/>
      <c r="E388" s="678"/>
      <c r="F388" s="678"/>
      <c r="G388" s="678"/>
      <c r="H388" s="678"/>
      <c r="I388" s="678"/>
      <c r="J388" s="678">
        <f t="shared" si="262"/>
        <v>0</v>
      </c>
      <c r="K388" s="678">
        <f t="shared" si="263"/>
        <v>0</v>
      </c>
      <c r="L388" s="678">
        <f t="shared" si="264"/>
        <v>0</v>
      </c>
      <c r="M388" s="678"/>
      <c r="N388" s="678"/>
      <c r="O388" s="678">
        <f t="shared" si="265"/>
        <v>0</v>
      </c>
    </row>
    <row r="389" spans="1:16" ht="17.25" thickTop="1" thickBot="1" x14ac:dyDescent="0.3">
      <c r="A389" s="667"/>
      <c r="B389" s="680" t="s">
        <v>379</v>
      </c>
      <c r="C389" s="680">
        <f>+C376+C381+C387+C382+C385+C388+C383</f>
        <v>221829</v>
      </c>
      <c r="D389" s="680">
        <f t="shared" ref="D389:O389" si="266">+D376+D381+D387+D382+D385+D388+D383</f>
        <v>0</v>
      </c>
      <c r="E389" s="680">
        <f t="shared" si="266"/>
        <v>1207</v>
      </c>
      <c r="F389" s="680">
        <f t="shared" si="266"/>
        <v>14759</v>
      </c>
      <c r="G389" s="680">
        <f t="shared" si="266"/>
        <v>4726</v>
      </c>
      <c r="H389" s="680">
        <f t="shared" si="266"/>
        <v>0</v>
      </c>
      <c r="I389" s="680">
        <f t="shared" si="266"/>
        <v>0</v>
      </c>
      <c r="J389" s="680">
        <f t="shared" si="266"/>
        <v>237795</v>
      </c>
      <c r="K389" s="680">
        <f t="shared" si="266"/>
        <v>4726</v>
      </c>
      <c r="L389" s="680">
        <f t="shared" si="266"/>
        <v>242521</v>
      </c>
      <c r="M389" s="680">
        <f t="shared" si="266"/>
        <v>2410684</v>
      </c>
      <c r="N389" s="680">
        <f t="shared" si="266"/>
        <v>30243</v>
      </c>
      <c r="O389" s="680">
        <f t="shared" si="266"/>
        <v>2683448</v>
      </c>
      <c r="P389" s="659">
        <f>O390+O391+O392</f>
        <v>2683448</v>
      </c>
    </row>
    <row r="390" spans="1:16" ht="17.25" thickTop="1" thickBot="1" x14ac:dyDescent="0.3">
      <c r="A390" s="667"/>
      <c r="B390" s="680" t="s">
        <v>378</v>
      </c>
      <c r="C390" s="680">
        <f>+C377+C381+C382+C383</f>
        <v>109411</v>
      </c>
      <c r="D390" s="680">
        <f t="shared" ref="D390:O390" si="267">+D377+D381+D382+D383</f>
        <v>0</v>
      </c>
      <c r="E390" s="680">
        <f t="shared" si="267"/>
        <v>0</v>
      </c>
      <c r="F390" s="680">
        <f t="shared" si="267"/>
        <v>2355</v>
      </c>
      <c r="G390" s="680">
        <f t="shared" si="267"/>
        <v>2751</v>
      </c>
      <c r="H390" s="680">
        <f t="shared" si="267"/>
        <v>0</v>
      </c>
      <c r="I390" s="680">
        <f t="shared" si="267"/>
        <v>0</v>
      </c>
      <c r="J390" s="680">
        <f t="shared" si="267"/>
        <v>111766</v>
      </c>
      <c r="K390" s="680">
        <f t="shared" si="267"/>
        <v>2751</v>
      </c>
      <c r="L390" s="680">
        <f t="shared" si="267"/>
        <v>114517</v>
      </c>
      <c r="M390" s="680">
        <f t="shared" si="267"/>
        <v>1311944</v>
      </c>
      <c r="N390" s="680">
        <f t="shared" si="267"/>
        <v>30243</v>
      </c>
      <c r="O390" s="680">
        <f t="shared" si="267"/>
        <v>1456704</v>
      </c>
    </row>
    <row r="391" spans="1:16" ht="17.25" thickTop="1" thickBot="1" x14ac:dyDescent="0.3">
      <c r="A391" s="667"/>
      <c r="B391" s="680" t="s">
        <v>377</v>
      </c>
      <c r="C391" s="680">
        <f>+C378+C385</f>
        <v>37794</v>
      </c>
      <c r="D391" s="680">
        <f t="shared" ref="D391:O391" si="268">+D378+D385</f>
        <v>0</v>
      </c>
      <c r="E391" s="680">
        <f t="shared" si="268"/>
        <v>0</v>
      </c>
      <c r="F391" s="680">
        <f t="shared" si="268"/>
        <v>11036</v>
      </c>
      <c r="G391" s="680">
        <f t="shared" si="268"/>
        <v>0</v>
      </c>
      <c r="H391" s="680">
        <f t="shared" si="268"/>
        <v>0</v>
      </c>
      <c r="I391" s="680">
        <f t="shared" si="268"/>
        <v>0</v>
      </c>
      <c r="J391" s="680">
        <f t="shared" si="268"/>
        <v>48830</v>
      </c>
      <c r="K391" s="680">
        <f t="shared" si="268"/>
        <v>0</v>
      </c>
      <c r="L391" s="680">
        <f t="shared" si="268"/>
        <v>48830</v>
      </c>
      <c r="M391" s="680">
        <f t="shared" si="268"/>
        <v>188584</v>
      </c>
      <c r="N391" s="680">
        <f t="shared" si="268"/>
        <v>0</v>
      </c>
      <c r="O391" s="680">
        <f t="shared" si="268"/>
        <v>237414</v>
      </c>
    </row>
    <row r="392" spans="1:16" ht="33" thickTop="1" thickBot="1" x14ac:dyDescent="0.3">
      <c r="A392" s="667"/>
      <c r="B392" s="680" t="s">
        <v>446</v>
      </c>
      <c r="C392" s="680">
        <f t="shared" ref="C392:O392" si="269">SUM(C379+C387+C388)</f>
        <v>74624</v>
      </c>
      <c r="D392" s="680">
        <f t="shared" si="269"/>
        <v>0</v>
      </c>
      <c r="E392" s="680">
        <f t="shared" si="269"/>
        <v>1207</v>
      </c>
      <c r="F392" s="680">
        <f t="shared" si="269"/>
        <v>1368</v>
      </c>
      <c r="G392" s="680">
        <f t="shared" si="269"/>
        <v>1975</v>
      </c>
      <c r="H392" s="680">
        <f t="shared" si="269"/>
        <v>0</v>
      </c>
      <c r="I392" s="680">
        <f t="shared" si="269"/>
        <v>0</v>
      </c>
      <c r="J392" s="680">
        <f t="shared" si="269"/>
        <v>77199</v>
      </c>
      <c r="K392" s="680">
        <f t="shared" si="269"/>
        <v>1975</v>
      </c>
      <c r="L392" s="680">
        <f t="shared" si="269"/>
        <v>79174</v>
      </c>
      <c r="M392" s="680">
        <f t="shared" si="269"/>
        <v>910156</v>
      </c>
      <c r="N392" s="680">
        <f t="shared" si="269"/>
        <v>0</v>
      </c>
      <c r="O392" s="680">
        <f t="shared" si="269"/>
        <v>989330</v>
      </c>
    </row>
    <row r="393" spans="1:16" ht="17.25" thickTop="1" thickBot="1" x14ac:dyDescent="0.3">
      <c r="A393" s="667"/>
      <c r="B393" s="680" t="s">
        <v>375</v>
      </c>
      <c r="C393" s="680">
        <f t="shared" ref="C393:O393" si="270">SUM(C374+C389)</f>
        <v>1662483</v>
      </c>
      <c r="D393" s="680">
        <f t="shared" si="270"/>
        <v>22236</v>
      </c>
      <c r="E393" s="680">
        <f t="shared" si="270"/>
        <v>1207</v>
      </c>
      <c r="F393" s="680">
        <f t="shared" si="270"/>
        <v>1279975</v>
      </c>
      <c r="G393" s="680">
        <f t="shared" si="270"/>
        <v>5113</v>
      </c>
      <c r="H393" s="680">
        <f t="shared" si="270"/>
        <v>5624</v>
      </c>
      <c r="I393" s="680">
        <f t="shared" si="270"/>
        <v>2067</v>
      </c>
      <c r="J393" s="680">
        <f t="shared" si="270"/>
        <v>2949289</v>
      </c>
      <c r="K393" s="680">
        <f t="shared" si="270"/>
        <v>29416</v>
      </c>
      <c r="L393" s="680">
        <f t="shared" si="270"/>
        <v>2978705</v>
      </c>
      <c r="M393" s="680">
        <f t="shared" si="270"/>
        <v>11524143</v>
      </c>
      <c r="N393" s="680">
        <f t="shared" si="270"/>
        <v>840807</v>
      </c>
      <c r="O393" s="680">
        <f t="shared" si="270"/>
        <v>15343655</v>
      </c>
    </row>
    <row r="394" spans="1:16" ht="17.25" thickTop="1" thickBot="1" x14ac:dyDescent="0.3">
      <c r="A394" s="697"/>
      <c r="B394" s="680" t="s">
        <v>24</v>
      </c>
      <c r="C394" s="680">
        <f t="shared" ref="C394:O394" si="271">SUM(C7+C19+C32+C42+C54+C65+C79+C90+C104+C115+C128+C141+C152+C165+C176+C188+C199+C210+C221+C233+C246+C256+C267+C281+C293+C300+C314+C334+C341+C352+C360+C376+C327)</f>
        <v>1540635</v>
      </c>
      <c r="D394" s="680">
        <f t="shared" si="271"/>
        <v>2866</v>
      </c>
      <c r="E394" s="680">
        <f t="shared" si="271"/>
        <v>1207</v>
      </c>
      <c r="F394" s="680">
        <f t="shared" si="271"/>
        <v>1193445</v>
      </c>
      <c r="G394" s="680">
        <f t="shared" si="271"/>
        <v>4725</v>
      </c>
      <c r="H394" s="680">
        <f t="shared" si="271"/>
        <v>5470</v>
      </c>
      <c r="I394" s="680">
        <f t="shared" si="271"/>
        <v>2067</v>
      </c>
      <c r="J394" s="680">
        <f t="shared" si="271"/>
        <v>2740757</v>
      </c>
      <c r="K394" s="680">
        <f t="shared" si="271"/>
        <v>9658</v>
      </c>
      <c r="L394" s="680">
        <f t="shared" si="271"/>
        <v>2750415</v>
      </c>
      <c r="M394" s="680">
        <f t="shared" si="271"/>
        <v>11488789</v>
      </c>
      <c r="N394" s="680">
        <f t="shared" si="271"/>
        <v>848460</v>
      </c>
      <c r="O394" s="680">
        <f t="shared" si="271"/>
        <v>15087664</v>
      </c>
    </row>
    <row r="395" spans="1:16" ht="16.5" thickTop="1" x14ac:dyDescent="0.25">
      <c r="A395" s="702"/>
      <c r="B395" s="703" t="s">
        <v>131</v>
      </c>
      <c r="C395" s="703"/>
      <c r="D395" s="703"/>
      <c r="E395" s="703"/>
      <c r="F395" s="703"/>
      <c r="G395" s="703"/>
      <c r="H395" s="703"/>
      <c r="I395" s="703"/>
      <c r="J395" s="703"/>
      <c r="K395" s="703"/>
      <c r="L395" s="703"/>
      <c r="M395" s="703"/>
      <c r="N395" s="703"/>
      <c r="O395" s="703"/>
    </row>
    <row r="396" spans="1:16" s="707" customFormat="1" ht="31.5" x14ac:dyDescent="0.25">
      <c r="A396" s="704"/>
      <c r="B396" s="705" t="s">
        <v>1235</v>
      </c>
      <c r="C396" s="706">
        <f t="shared" ref="C396:O396" si="272">C11+C23+C36+C46+C58+C69+C83+C94+C108+C119+C132+C145+C156+C169+C180+C192+C214+C225+C237+C250+C260+C271+C285+C304+C318+C364+C381</f>
        <v>0</v>
      </c>
      <c r="D396" s="706">
        <f t="shared" si="272"/>
        <v>0</v>
      </c>
      <c r="E396" s="706">
        <f t="shared" si="272"/>
        <v>0</v>
      </c>
      <c r="F396" s="706">
        <f t="shared" si="272"/>
        <v>0</v>
      </c>
      <c r="G396" s="706">
        <f t="shared" si="272"/>
        <v>0</v>
      </c>
      <c r="H396" s="706">
        <f t="shared" si="272"/>
        <v>0</v>
      </c>
      <c r="I396" s="706">
        <f t="shared" si="272"/>
        <v>0</v>
      </c>
      <c r="J396" s="706">
        <f t="shared" si="272"/>
        <v>0</v>
      </c>
      <c r="K396" s="706">
        <f t="shared" si="272"/>
        <v>0</v>
      </c>
      <c r="L396" s="706">
        <f t="shared" si="272"/>
        <v>0</v>
      </c>
      <c r="M396" s="706">
        <f t="shared" si="272"/>
        <v>7627</v>
      </c>
      <c r="N396" s="706">
        <f t="shared" si="272"/>
        <v>-7627</v>
      </c>
      <c r="O396" s="706">
        <f t="shared" si="272"/>
        <v>0</v>
      </c>
    </row>
    <row r="397" spans="1:16" s="707" customFormat="1" ht="31.5" x14ac:dyDescent="0.25">
      <c r="A397" s="704"/>
      <c r="B397" s="705" t="s">
        <v>1236</v>
      </c>
      <c r="C397" s="706">
        <f t="shared" ref="C397:O397" si="273">C12+C24+C70+C286+C382</f>
        <v>0</v>
      </c>
      <c r="D397" s="706">
        <f t="shared" si="273"/>
        <v>0</v>
      </c>
      <c r="E397" s="706">
        <f t="shared" si="273"/>
        <v>0</v>
      </c>
      <c r="F397" s="706">
        <f t="shared" si="273"/>
        <v>0</v>
      </c>
      <c r="G397" s="706">
        <f t="shared" si="273"/>
        <v>0</v>
      </c>
      <c r="H397" s="706">
        <f t="shared" si="273"/>
        <v>0</v>
      </c>
      <c r="I397" s="706">
        <f t="shared" si="273"/>
        <v>0</v>
      </c>
      <c r="J397" s="706">
        <f t="shared" si="273"/>
        <v>0</v>
      </c>
      <c r="K397" s="706">
        <f t="shared" si="273"/>
        <v>0</v>
      </c>
      <c r="L397" s="706">
        <f t="shared" si="273"/>
        <v>0</v>
      </c>
      <c r="M397" s="706">
        <f t="shared" si="273"/>
        <v>-64</v>
      </c>
      <c r="N397" s="706">
        <f t="shared" si="273"/>
        <v>0</v>
      </c>
      <c r="O397" s="706">
        <f t="shared" si="273"/>
        <v>-64</v>
      </c>
    </row>
    <row r="398" spans="1:16" s="707" customFormat="1" ht="47.25" x14ac:dyDescent="0.25">
      <c r="A398" s="704"/>
      <c r="B398" s="705" t="s">
        <v>1215</v>
      </c>
      <c r="C398" s="706">
        <f t="shared" ref="C398:O398" si="274">C47+C95+C120+C133+C157+C181+C305+C272</f>
        <v>0</v>
      </c>
      <c r="D398" s="706">
        <f t="shared" si="274"/>
        <v>0</v>
      </c>
      <c r="E398" s="706">
        <f t="shared" si="274"/>
        <v>0</v>
      </c>
      <c r="F398" s="706">
        <f t="shared" si="274"/>
        <v>0</v>
      </c>
      <c r="G398" s="706">
        <f t="shared" si="274"/>
        <v>0</v>
      </c>
      <c r="H398" s="706">
        <f t="shared" si="274"/>
        <v>0</v>
      </c>
      <c r="I398" s="706">
        <f t="shared" si="274"/>
        <v>0</v>
      </c>
      <c r="J398" s="706">
        <f t="shared" si="274"/>
        <v>0</v>
      </c>
      <c r="K398" s="706">
        <f t="shared" si="274"/>
        <v>0</v>
      </c>
      <c r="L398" s="706">
        <f t="shared" si="274"/>
        <v>0</v>
      </c>
      <c r="M398" s="706">
        <f t="shared" si="274"/>
        <v>4618</v>
      </c>
      <c r="N398" s="706">
        <f t="shared" si="274"/>
        <v>0</v>
      </c>
      <c r="O398" s="706">
        <f t="shared" si="274"/>
        <v>4618</v>
      </c>
    </row>
    <row r="399" spans="1:16" s="707" customFormat="1" ht="35.25" customHeight="1" x14ac:dyDescent="0.25">
      <c r="A399" s="704"/>
      <c r="B399" s="705" t="s">
        <v>1217</v>
      </c>
      <c r="C399" s="706">
        <f t="shared" ref="C399:O399" si="275">C71+C121+C134</f>
        <v>0</v>
      </c>
      <c r="D399" s="706">
        <f t="shared" si="275"/>
        <v>0</v>
      </c>
      <c r="E399" s="706">
        <f t="shared" si="275"/>
        <v>0</v>
      </c>
      <c r="F399" s="706">
        <f t="shared" si="275"/>
        <v>0</v>
      </c>
      <c r="G399" s="706">
        <f t="shared" si="275"/>
        <v>0</v>
      </c>
      <c r="H399" s="706">
        <f t="shared" si="275"/>
        <v>0</v>
      </c>
      <c r="I399" s="706">
        <f t="shared" si="275"/>
        <v>0</v>
      </c>
      <c r="J399" s="706">
        <f t="shared" si="275"/>
        <v>0</v>
      </c>
      <c r="K399" s="706">
        <f t="shared" si="275"/>
        <v>0</v>
      </c>
      <c r="L399" s="706">
        <f t="shared" si="275"/>
        <v>0</v>
      </c>
      <c r="M399" s="706">
        <f t="shared" si="275"/>
        <v>488</v>
      </c>
      <c r="N399" s="706">
        <f t="shared" si="275"/>
        <v>0</v>
      </c>
      <c r="O399" s="706">
        <f t="shared" si="275"/>
        <v>488</v>
      </c>
    </row>
    <row r="400" spans="1:16" s="707" customFormat="1" ht="35.25" customHeight="1" x14ac:dyDescent="0.25">
      <c r="A400" s="704"/>
      <c r="B400" s="705" t="s">
        <v>915</v>
      </c>
      <c r="C400" s="706">
        <f t="shared" ref="C400:O400" si="276">C13+C72+C109+C182+C193+C226+C306+C319+C25+C48+C84+C96+C122+C135+C146+C158+C170+C215+C238+C273+C261+C287</f>
        <v>113898</v>
      </c>
      <c r="D400" s="706">
        <f t="shared" si="276"/>
        <v>0</v>
      </c>
      <c r="E400" s="706">
        <f t="shared" si="276"/>
        <v>0</v>
      </c>
      <c r="F400" s="706">
        <f t="shared" si="276"/>
        <v>74305</v>
      </c>
      <c r="G400" s="706">
        <f t="shared" si="276"/>
        <v>0</v>
      </c>
      <c r="H400" s="706">
        <f t="shared" si="276"/>
        <v>150</v>
      </c>
      <c r="I400" s="706">
        <f t="shared" si="276"/>
        <v>0</v>
      </c>
      <c r="J400" s="706">
        <f t="shared" si="276"/>
        <v>188353</v>
      </c>
      <c r="K400" s="706">
        <f t="shared" si="276"/>
        <v>0</v>
      </c>
      <c r="L400" s="706">
        <f t="shared" si="276"/>
        <v>188353</v>
      </c>
      <c r="M400" s="706">
        <f t="shared" si="276"/>
        <v>23207</v>
      </c>
      <c r="N400" s="706">
        <f t="shared" si="276"/>
        <v>0</v>
      </c>
      <c r="O400" s="706">
        <f t="shared" si="276"/>
        <v>211560</v>
      </c>
    </row>
    <row r="401" spans="1:15" s="707" customFormat="1" ht="35.25" customHeight="1" x14ac:dyDescent="0.25">
      <c r="A401" s="704"/>
      <c r="B401" s="705" t="s">
        <v>1226</v>
      </c>
      <c r="C401" s="706">
        <f>C383</f>
        <v>3</v>
      </c>
      <c r="D401" s="706">
        <f t="shared" ref="D401:O401" si="277">D383</f>
        <v>0</v>
      </c>
      <c r="E401" s="706">
        <f t="shared" si="277"/>
        <v>0</v>
      </c>
      <c r="F401" s="706">
        <f t="shared" si="277"/>
        <v>0</v>
      </c>
      <c r="G401" s="706">
        <f t="shared" si="277"/>
        <v>1</v>
      </c>
      <c r="H401" s="706">
        <f t="shared" si="277"/>
        <v>0</v>
      </c>
      <c r="I401" s="706">
        <f t="shared" si="277"/>
        <v>0</v>
      </c>
      <c r="J401" s="706">
        <f t="shared" si="277"/>
        <v>3</v>
      </c>
      <c r="K401" s="706">
        <f t="shared" si="277"/>
        <v>1</v>
      </c>
      <c r="L401" s="706">
        <f t="shared" si="277"/>
        <v>4</v>
      </c>
      <c r="M401" s="706">
        <f t="shared" si="277"/>
        <v>-4</v>
      </c>
      <c r="N401" s="706">
        <f t="shared" si="277"/>
        <v>0</v>
      </c>
      <c r="O401" s="706">
        <f t="shared" si="277"/>
        <v>0</v>
      </c>
    </row>
    <row r="402" spans="1:15" s="707" customFormat="1" ht="31.5" x14ac:dyDescent="0.25">
      <c r="A402" s="704"/>
      <c r="B402" s="705" t="s">
        <v>1237</v>
      </c>
      <c r="C402" s="706">
        <f>C97</f>
        <v>0</v>
      </c>
      <c r="D402" s="706">
        <f t="shared" ref="D402:O402" si="278">D97</f>
        <v>0</v>
      </c>
      <c r="E402" s="706">
        <f t="shared" si="278"/>
        <v>0</v>
      </c>
      <c r="F402" s="706">
        <f t="shared" si="278"/>
        <v>0</v>
      </c>
      <c r="G402" s="706">
        <f t="shared" si="278"/>
        <v>0</v>
      </c>
      <c r="H402" s="706">
        <f t="shared" si="278"/>
        <v>0</v>
      </c>
      <c r="I402" s="706">
        <f t="shared" si="278"/>
        <v>0</v>
      </c>
      <c r="J402" s="706">
        <f t="shared" si="278"/>
        <v>0</v>
      </c>
      <c r="K402" s="706">
        <f t="shared" si="278"/>
        <v>0</v>
      </c>
      <c r="L402" s="706">
        <f t="shared" si="278"/>
        <v>0</v>
      </c>
      <c r="M402" s="706">
        <f t="shared" si="278"/>
        <v>-65</v>
      </c>
      <c r="N402" s="706">
        <f t="shared" si="278"/>
        <v>0</v>
      </c>
      <c r="O402" s="706">
        <f t="shared" si="278"/>
        <v>-65</v>
      </c>
    </row>
    <row r="403" spans="1:15" s="707" customFormat="1" x14ac:dyDescent="0.25">
      <c r="A403" s="702"/>
      <c r="B403" s="816" t="s">
        <v>132</v>
      </c>
      <c r="C403" s="816"/>
      <c r="D403" s="816"/>
      <c r="E403" s="816"/>
      <c r="F403" s="816"/>
      <c r="G403" s="816"/>
      <c r="H403" s="816"/>
      <c r="I403" s="816"/>
      <c r="J403" s="816"/>
      <c r="K403" s="816"/>
      <c r="L403" s="816"/>
      <c r="M403" s="816"/>
      <c r="N403" s="816"/>
      <c r="O403" s="816"/>
    </row>
    <row r="404" spans="1:15" s="707" customFormat="1" ht="31.5" x14ac:dyDescent="0.25">
      <c r="A404" s="702"/>
      <c r="B404" s="953" t="s">
        <v>1235</v>
      </c>
      <c r="C404" s="954">
        <f t="shared" ref="C404:O404" si="279">C296+C337+C344</f>
        <v>0</v>
      </c>
      <c r="D404" s="954">
        <f t="shared" si="279"/>
        <v>0</v>
      </c>
      <c r="E404" s="954">
        <f t="shared" si="279"/>
        <v>0</v>
      </c>
      <c r="F404" s="954">
        <f t="shared" si="279"/>
        <v>0</v>
      </c>
      <c r="G404" s="954">
        <f t="shared" si="279"/>
        <v>0</v>
      </c>
      <c r="H404" s="954">
        <f t="shared" si="279"/>
        <v>0</v>
      </c>
      <c r="I404" s="954">
        <f t="shared" si="279"/>
        <v>0</v>
      </c>
      <c r="J404" s="954">
        <f t="shared" si="279"/>
        <v>0</v>
      </c>
      <c r="K404" s="954">
        <f t="shared" si="279"/>
        <v>0</v>
      </c>
      <c r="L404" s="954">
        <f t="shared" si="279"/>
        <v>0</v>
      </c>
      <c r="M404" s="954">
        <f t="shared" si="279"/>
        <v>26</v>
      </c>
      <c r="N404" s="954">
        <f t="shared" si="279"/>
        <v>-26</v>
      </c>
      <c r="O404" s="954">
        <f t="shared" si="279"/>
        <v>0</v>
      </c>
    </row>
    <row r="405" spans="1:15" s="707" customFormat="1" ht="31.5" x14ac:dyDescent="0.25">
      <c r="A405" s="704"/>
      <c r="B405" s="705" t="s">
        <v>1237</v>
      </c>
      <c r="C405" s="706">
        <f>+C160+C228</f>
        <v>0</v>
      </c>
      <c r="D405" s="706">
        <f t="shared" ref="D405:O405" si="280">+D160+D228</f>
        <v>0</v>
      </c>
      <c r="E405" s="706">
        <f t="shared" si="280"/>
        <v>0</v>
      </c>
      <c r="F405" s="706">
        <f t="shared" si="280"/>
        <v>0</v>
      </c>
      <c r="G405" s="706">
        <f t="shared" si="280"/>
        <v>0</v>
      </c>
      <c r="H405" s="706">
        <f t="shared" si="280"/>
        <v>0</v>
      </c>
      <c r="I405" s="706">
        <f t="shared" si="280"/>
        <v>0</v>
      </c>
      <c r="J405" s="706">
        <f t="shared" si="280"/>
        <v>0</v>
      </c>
      <c r="K405" s="706">
        <f t="shared" si="280"/>
        <v>0</v>
      </c>
      <c r="L405" s="706">
        <f t="shared" si="280"/>
        <v>0</v>
      </c>
      <c r="M405" s="706">
        <f t="shared" si="280"/>
        <v>-110</v>
      </c>
      <c r="N405" s="706">
        <f t="shared" si="280"/>
        <v>0</v>
      </c>
      <c r="O405" s="706">
        <f t="shared" si="280"/>
        <v>-110</v>
      </c>
    </row>
    <row r="406" spans="1:15" s="707" customFormat="1" ht="78.75" x14ac:dyDescent="0.25">
      <c r="A406" s="704"/>
      <c r="B406" s="705" t="s">
        <v>1242</v>
      </c>
      <c r="C406" s="706">
        <f t="shared" ref="C406:O407" si="281">C366</f>
        <v>0</v>
      </c>
      <c r="D406" s="706">
        <f t="shared" si="281"/>
        <v>0</v>
      </c>
      <c r="E406" s="706">
        <f t="shared" si="281"/>
        <v>0</v>
      </c>
      <c r="F406" s="706">
        <f t="shared" si="281"/>
        <v>0</v>
      </c>
      <c r="G406" s="706">
        <f t="shared" si="281"/>
        <v>0</v>
      </c>
      <c r="H406" s="706">
        <f t="shared" si="281"/>
        <v>0</v>
      </c>
      <c r="I406" s="706">
        <f t="shared" si="281"/>
        <v>0</v>
      </c>
      <c r="J406" s="706">
        <f t="shared" si="281"/>
        <v>0</v>
      </c>
      <c r="K406" s="706">
        <f t="shared" si="281"/>
        <v>0</v>
      </c>
      <c r="L406" s="706">
        <f t="shared" si="281"/>
        <v>0</v>
      </c>
      <c r="M406" s="706">
        <f t="shared" si="281"/>
        <v>-200</v>
      </c>
      <c r="N406" s="706">
        <f t="shared" si="281"/>
        <v>0</v>
      </c>
      <c r="O406" s="706">
        <f t="shared" si="281"/>
        <v>-200</v>
      </c>
    </row>
    <row r="407" spans="1:15" s="707" customFormat="1" ht="78.75" x14ac:dyDescent="0.25">
      <c r="A407" s="704"/>
      <c r="B407" s="705" t="s">
        <v>1243</v>
      </c>
      <c r="C407" s="706">
        <f t="shared" si="281"/>
        <v>0</v>
      </c>
      <c r="D407" s="706">
        <f t="shared" si="281"/>
        <v>0</v>
      </c>
      <c r="E407" s="706">
        <f t="shared" si="281"/>
        <v>0</v>
      </c>
      <c r="F407" s="706">
        <f t="shared" si="281"/>
        <v>0</v>
      </c>
      <c r="G407" s="706">
        <f t="shared" si="281"/>
        <v>0</v>
      </c>
      <c r="H407" s="706">
        <f t="shared" si="281"/>
        <v>0</v>
      </c>
      <c r="I407" s="706">
        <f t="shared" si="281"/>
        <v>0</v>
      </c>
      <c r="J407" s="706">
        <f t="shared" si="281"/>
        <v>0</v>
      </c>
      <c r="K407" s="706">
        <f t="shared" si="281"/>
        <v>0</v>
      </c>
      <c r="L407" s="706">
        <f t="shared" si="281"/>
        <v>0</v>
      </c>
      <c r="M407" s="706">
        <f t="shared" si="281"/>
        <v>-250</v>
      </c>
      <c r="N407" s="706">
        <f t="shared" si="281"/>
        <v>0</v>
      </c>
      <c r="O407" s="706">
        <f t="shared" si="281"/>
        <v>-250</v>
      </c>
    </row>
    <row r="408" spans="1:15" s="707" customFormat="1" ht="128.25" customHeight="1" x14ac:dyDescent="0.25">
      <c r="A408" s="704"/>
      <c r="B408" s="705" t="s">
        <v>1244</v>
      </c>
      <c r="C408" s="706">
        <f t="shared" ref="C408:O408" si="282">C60+C74</f>
        <v>0</v>
      </c>
      <c r="D408" s="706">
        <f t="shared" si="282"/>
        <v>0</v>
      </c>
      <c r="E408" s="706">
        <f t="shared" si="282"/>
        <v>0</v>
      </c>
      <c r="F408" s="706">
        <f t="shared" si="282"/>
        <v>0</v>
      </c>
      <c r="G408" s="706">
        <f t="shared" si="282"/>
        <v>0</v>
      </c>
      <c r="H408" s="706">
        <f t="shared" si="282"/>
        <v>0</v>
      </c>
      <c r="I408" s="706">
        <f t="shared" si="282"/>
        <v>0</v>
      </c>
      <c r="J408" s="706">
        <f t="shared" si="282"/>
        <v>0</v>
      </c>
      <c r="K408" s="706">
        <f t="shared" si="282"/>
        <v>0</v>
      </c>
      <c r="L408" s="706">
        <f t="shared" si="282"/>
        <v>0</v>
      </c>
      <c r="M408" s="706">
        <f t="shared" si="282"/>
        <v>0</v>
      </c>
      <c r="N408" s="706">
        <f t="shared" si="282"/>
        <v>0</v>
      </c>
      <c r="O408" s="706">
        <f t="shared" si="282"/>
        <v>0</v>
      </c>
    </row>
    <row r="409" spans="1:15" s="707" customFormat="1" ht="31.5" x14ac:dyDescent="0.25">
      <c r="A409" s="704"/>
      <c r="B409" s="705" t="s">
        <v>1236</v>
      </c>
      <c r="C409" s="706">
        <f t="shared" ref="C409:O409" si="283">C345</f>
        <v>0</v>
      </c>
      <c r="D409" s="706">
        <f t="shared" si="283"/>
        <v>0</v>
      </c>
      <c r="E409" s="706">
        <f t="shared" si="283"/>
        <v>0</v>
      </c>
      <c r="F409" s="706">
        <f t="shared" si="283"/>
        <v>0</v>
      </c>
      <c r="G409" s="706">
        <f t="shared" si="283"/>
        <v>0</v>
      </c>
      <c r="H409" s="706">
        <f t="shared" si="283"/>
        <v>0</v>
      </c>
      <c r="I409" s="706">
        <f t="shared" si="283"/>
        <v>0</v>
      </c>
      <c r="J409" s="706">
        <f t="shared" si="283"/>
        <v>0</v>
      </c>
      <c r="K409" s="706">
        <f t="shared" si="283"/>
        <v>0</v>
      </c>
      <c r="L409" s="706">
        <f t="shared" si="283"/>
        <v>0</v>
      </c>
      <c r="M409" s="706">
        <f t="shared" si="283"/>
        <v>-23</v>
      </c>
      <c r="N409" s="706">
        <f t="shared" si="283"/>
        <v>0</v>
      </c>
      <c r="O409" s="706">
        <f t="shared" si="283"/>
        <v>-23</v>
      </c>
    </row>
    <row r="410" spans="1:15" s="707" customFormat="1" ht="47.25" x14ac:dyDescent="0.25">
      <c r="A410" s="704"/>
      <c r="B410" s="705" t="s">
        <v>1245</v>
      </c>
      <c r="C410" s="706">
        <f t="shared" ref="C410:O410" si="284">C275</f>
        <v>0</v>
      </c>
      <c r="D410" s="706">
        <f t="shared" si="284"/>
        <v>0</v>
      </c>
      <c r="E410" s="706">
        <f t="shared" si="284"/>
        <v>0</v>
      </c>
      <c r="F410" s="706">
        <f t="shared" si="284"/>
        <v>0</v>
      </c>
      <c r="G410" s="706">
        <f t="shared" si="284"/>
        <v>0</v>
      </c>
      <c r="H410" s="706">
        <f t="shared" si="284"/>
        <v>0</v>
      </c>
      <c r="I410" s="706">
        <f t="shared" si="284"/>
        <v>0</v>
      </c>
      <c r="J410" s="706">
        <f t="shared" si="284"/>
        <v>0</v>
      </c>
      <c r="K410" s="706">
        <f t="shared" si="284"/>
        <v>0</v>
      </c>
      <c r="L410" s="706">
        <f t="shared" si="284"/>
        <v>0</v>
      </c>
      <c r="M410" s="706">
        <f t="shared" si="284"/>
        <v>4</v>
      </c>
      <c r="N410" s="706">
        <f t="shared" si="284"/>
        <v>0</v>
      </c>
      <c r="O410" s="706">
        <f t="shared" si="284"/>
        <v>4</v>
      </c>
    </row>
    <row r="411" spans="1:15" s="707" customFormat="1" x14ac:dyDescent="0.25">
      <c r="A411" s="704"/>
      <c r="B411" s="705" t="s">
        <v>1231</v>
      </c>
      <c r="C411" s="706">
        <f t="shared" ref="C411:O411" si="285">C368</f>
        <v>0</v>
      </c>
      <c r="D411" s="706">
        <f t="shared" si="285"/>
        <v>0</v>
      </c>
      <c r="E411" s="706">
        <f t="shared" si="285"/>
        <v>0</v>
      </c>
      <c r="F411" s="706">
        <f t="shared" si="285"/>
        <v>0</v>
      </c>
      <c r="G411" s="706">
        <f t="shared" si="285"/>
        <v>0</v>
      </c>
      <c r="H411" s="706">
        <f t="shared" si="285"/>
        <v>0</v>
      </c>
      <c r="I411" s="706">
        <f t="shared" si="285"/>
        <v>0</v>
      </c>
      <c r="J411" s="706">
        <f t="shared" si="285"/>
        <v>0</v>
      </c>
      <c r="K411" s="706">
        <f t="shared" si="285"/>
        <v>0</v>
      </c>
      <c r="L411" s="706">
        <f t="shared" si="285"/>
        <v>0</v>
      </c>
      <c r="M411" s="706">
        <f t="shared" si="285"/>
        <v>100</v>
      </c>
      <c r="N411" s="706">
        <f t="shared" si="285"/>
        <v>0</v>
      </c>
      <c r="O411" s="706">
        <f t="shared" si="285"/>
        <v>100</v>
      </c>
    </row>
    <row r="412" spans="1:15" s="707" customFormat="1" ht="128.25" customHeight="1" x14ac:dyDescent="0.25">
      <c r="A412" s="704"/>
      <c r="B412" s="705" t="s">
        <v>1246</v>
      </c>
      <c r="C412" s="706">
        <f>C355+C346+C347+C369+C321+C322</f>
        <v>7955</v>
      </c>
      <c r="D412" s="706">
        <f t="shared" ref="D412:O412" si="286">D355+D346+D347+D369+D321+D322</f>
        <v>19370</v>
      </c>
      <c r="E412" s="706">
        <f t="shared" si="286"/>
        <v>0</v>
      </c>
      <c r="F412" s="706">
        <f t="shared" si="286"/>
        <v>0</v>
      </c>
      <c r="G412" s="706">
        <f t="shared" si="286"/>
        <v>0</v>
      </c>
      <c r="H412" s="706">
        <f t="shared" si="286"/>
        <v>0</v>
      </c>
      <c r="I412" s="706">
        <f t="shared" si="286"/>
        <v>0</v>
      </c>
      <c r="J412" s="706">
        <f t="shared" si="286"/>
        <v>7955</v>
      </c>
      <c r="K412" s="706">
        <f t="shared" si="286"/>
        <v>19370</v>
      </c>
      <c r="L412" s="706">
        <f t="shared" si="286"/>
        <v>27325</v>
      </c>
      <c r="M412" s="706">
        <f t="shared" si="286"/>
        <v>0</v>
      </c>
      <c r="N412" s="706">
        <f t="shared" si="286"/>
        <v>0</v>
      </c>
      <c r="O412" s="706">
        <f t="shared" si="286"/>
        <v>27325</v>
      </c>
    </row>
    <row r="413" spans="1:15" s="707" customFormat="1" ht="47.25" x14ac:dyDescent="0.25">
      <c r="A413" s="704"/>
      <c r="B413" s="705" t="s">
        <v>1233</v>
      </c>
      <c r="C413" s="706">
        <f t="shared" ref="C413:O413" si="287">C308</f>
        <v>-9</v>
      </c>
      <c r="D413" s="706">
        <f t="shared" si="287"/>
        <v>0</v>
      </c>
      <c r="E413" s="706">
        <f t="shared" si="287"/>
        <v>0</v>
      </c>
      <c r="F413" s="706">
        <f t="shared" si="287"/>
        <v>0</v>
      </c>
      <c r="G413" s="706">
        <f t="shared" si="287"/>
        <v>0</v>
      </c>
      <c r="H413" s="706">
        <f t="shared" si="287"/>
        <v>0</v>
      </c>
      <c r="I413" s="706">
        <f t="shared" si="287"/>
        <v>0</v>
      </c>
      <c r="J413" s="706">
        <f t="shared" si="287"/>
        <v>-9</v>
      </c>
      <c r="K413" s="706">
        <f t="shared" si="287"/>
        <v>0</v>
      </c>
      <c r="L413" s="706">
        <f t="shared" si="287"/>
        <v>-9</v>
      </c>
      <c r="M413" s="706">
        <f t="shared" si="287"/>
        <v>0</v>
      </c>
      <c r="N413" s="706">
        <f t="shared" si="287"/>
        <v>0</v>
      </c>
      <c r="O413" s="706">
        <f t="shared" si="287"/>
        <v>-9</v>
      </c>
    </row>
    <row r="414" spans="1:15" s="707" customFormat="1" ht="31.5" x14ac:dyDescent="0.25">
      <c r="A414" s="704"/>
      <c r="B414" s="705" t="s">
        <v>915</v>
      </c>
      <c r="C414" s="706">
        <f t="shared" ref="C414:O414" si="288">C309+C356+C348+C330</f>
        <v>1</v>
      </c>
      <c r="D414" s="706">
        <f t="shared" si="288"/>
        <v>0</v>
      </c>
      <c r="E414" s="706">
        <f t="shared" si="288"/>
        <v>0</v>
      </c>
      <c r="F414" s="706">
        <f t="shared" si="288"/>
        <v>12225</v>
      </c>
      <c r="G414" s="706">
        <f t="shared" si="288"/>
        <v>387</v>
      </c>
      <c r="H414" s="706">
        <f t="shared" si="288"/>
        <v>4</v>
      </c>
      <c r="I414" s="706">
        <f t="shared" si="288"/>
        <v>0</v>
      </c>
      <c r="J414" s="706">
        <f t="shared" si="288"/>
        <v>12230</v>
      </c>
      <c r="K414" s="706">
        <f t="shared" si="288"/>
        <v>387</v>
      </c>
      <c r="L414" s="706">
        <f t="shared" si="288"/>
        <v>12617</v>
      </c>
      <c r="M414" s="706">
        <f t="shared" si="288"/>
        <v>0</v>
      </c>
      <c r="N414" s="706">
        <f t="shared" si="288"/>
        <v>0</v>
      </c>
      <c r="O414" s="706">
        <f t="shared" si="288"/>
        <v>12617</v>
      </c>
    </row>
    <row r="415" spans="1:15" s="707" customFormat="1" x14ac:dyDescent="0.25">
      <c r="A415" s="704"/>
      <c r="B415" s="705"/>
      <c r="C415" s="706"/>
      <c r="D415" s="706"/>
      <c r="E415" s="706"/>
      <c r="F415" s="706"/>
      <c r="G415" s="706"/>
      <c r="H415" s="706"/>
      <c r="I415" s="706"/>
      <c r="J415" s="706"/>
      <c r="K415" s="706"/>
      <c r="L415" s="706"/>
      <c r="M415" s="706"/>
      <c r="N415" s="706"/>
      <c r="O415" s="706"/>
    </row>
    <row r="416" spans="1:15" s="707" customFormat="1" x14ac:dyDescent="0.25">
      <c r="A416" s="704"/>
      <c r="B416" s="705"/>
      <c r="C416" s="706"/>
      <c r="D416" s="706"/>
      <c r="E416" s="706"/>
      <c r="F416" s="706"/>
      <c r="G416" s="706"/>
      <c r="H416" s="706"/>
      <c r="I416" s="706"/>
      <c r="J416" s="706"/>
      <c r="K416" s="706"/>
      <c r="L416" s="706"/>
      <c r="M416" s="706"/>
      <c r="N416" s="706"/>
      <c r="O416" s="706"/>
    </row>
    <row r="417" spans="1:16" s="707" customFormat="1" x14ac:dyDescent="0.25">
      <c r="A417" s="704"/>
      <c r="B417" s="708" t="s">
        <v>333</v>
      </c>
      <c r="C417" s="706"/>
      <c r="D417" s="706"/>
      <c r="E417" s="706"/>
      <c r="F417" s="706"/>
      <c r="G417" s="706"/>
      <c r="H417" s="706"/>
      <c r="I417" s="706"/>
      <c r="J417" s="706"/>
      <c r="K417" s="706"/>
      <c r="L417" s="706"/>
      <c r="M417" s="706"/>
      <c r="N417" s="706"/>
      <c r="O417" s="706"/>
    </row>
    <row r="418" spans="1:16" s="707" customFormat="1" x14ac:dyDescent="0.25">
      <c r="A418" s="704"/>
      <c r="B418" s="705"/>
      <c r="C418" s="706"/>
      <c r="D418" s="706"/>
      <c r="E418" s="706"/>
      <c r="F418" s="706"/>
      <c r="G418" s="706"/>
      <c r="H418" s="706"/>
      <c r="I418" s="706"/>
      <c r="J418" s="706"/>
      <c r="K418" s="706"/>
      <c r="L418" s="706"/>
      <c r="M418" s="706"/>
      <c r="N418" s="706"/>
      <c r="O418" s="706"/>
    </row>
    <row r="419" spans="1:16" s="707" customFormat="1" ht="16.5" thickBot="1" x14ac:dyDescent="0.3">
      <c r="A419" s="704"/>
      <c r="B419" s="705"/>
      <c r="C419" s="706"/>
      <c r="D419" s="706"/>
      <c r="E419" s="706"/>
      <c r="F419" s="706"/>
      <c r="G419" s="706"/>
      <c r="H419" s="706"/>
      <c r="I419" s="706"/>
      <c r="J419" s="706"/>
      <c r="K419" s="706"/>
      <c r="L419" s="706"/>
      <c r="M419" s="706"/>
      <c r="N419" s="706"/>
      <c r="O419" s="706"/>
    </row>
    <row r="420" spans="1:16" ht="17.25" thickTop="1" thickBot="1" x14ac:dyDescent="0.3">
      <c r="A420" s="667"/>
      <c r="B420" s="680" t="s">
        <v>375</v>
      </c>
      <c r="C420" s="680">
        <f t="shared" ref="C420:O420" si="289">SUM(C394:C419)</f>
        <v>1662483</v>
      </c>
      <c r="D420" s="680">
        <f t="shared" si="289"/>
        <v>22236</v>
      </c>
      <c r="E420" s="680">
        <f t="shared" si="289"/>
        <v>1207</v>
      </c>
      <c r="F420" s="680">
        <f t="shared" si="289"/>
        <v>1279975</v>
      </c>
      <c r="G420" s="680">
        <f t="shared" si="289"/>
        <v>5113</v>
      </c>
      <c r="H420" s="680">
        <f t="shared" si="289"/>
        <v>5624</v>
      </c>
      <c r="I420" s="680">
        <f t="shared" si="289"/>
        <v>2067</v>
      </c>
      <c r="J420" s="680">
        <f t="shared" si="289"/>
        <v>2949289</v>
      </c>
      <c r="K420" s="680">
        <f t="shared" si="289"/>
        <v>29416</v>
      </c>
      <c r="L420" s="680">
        <f t="shared" si="289"/>
        <v>2978705</v>
      </c>
      <c r="M420" s="680">
        <f t="shared" si="289"/>
        <v>11524143</v>
      </c>
      <c r="N420" s="680">
        <f t="shared" si="289"/>
        <v>840807</v>
      </c>
      <c r="O420" s="680">
        <f t="shared" si="289"/>
        <v>15343655</v>
      </c>
      <c r="P420" s="659">
        <f>O421+O422+O423</f>
        <v>15343655</v>
      </c>
    </row>
    <row r="421" spans="1:16" ht="17.25" thickTop="1" thickBot="1" x14ac:dyDescent="0.3">
      <c r="A421" s="667"/>
      <c r="B421" s="680" t="s">
        <v>378</v>
      </c>
      <c r="C421" s="680">
        <f t="shared" ref="C421:O421" si="290">SUM(C16+C28+C39+C51+C62+C76+C87+C100+C112+C125+C138+C149+C162+C173+C185+C196+C207+C218+C230+C241+C253+C264+C277+C290+C311+C324+C371+C390)</f>
        <v>1182535</v>
      </c>
      <c r="D421" s="680">
        <f t="shared" si="290"/>
        <v>0</v>
      </c>
      <c r="E421" s="680">
        <f t="shared" si="290"/>
        <v>0</v>
      </c>
      <c r="F421" s="680">
        <f t="shared" si="290"/>
        <v>1065429</v>
      </c>
      <c r="G421" s="680">
        <f t="shared" si="290"/>
        <v>2751</v>
      </c>
      <c r="H421" s="680">
        <f t="shared" si="290"/>
        <v>5409</v>
      </c>
      <c r="I421" s="680">
        <f t="shared" si="290"/>
        <v>2067</v>
      </c>
      <c r="J421" s="680">
        <f t="shared" si="290"/>
        <v>2253373</v>
      </c>
      <c r="K421" s="680">
        <f t="shared" si="290"/>
        <v>4818</v>
      </c>
      <c r="L421" s="680">
        <f t="shared" si="290"/>
        <v>2258191</v>
      </c>
      <c r="M421" s="680">
        <f t="shared" si="290"/>
        <v>8673172</v>
      </c>
      <c r="N421" s="680">
        <f t="shared" si="290"/>
        <v>583643</v>
      </c>
      <c r="O421" s="680">
        <f t="shared" si="290"/>
        <v>11515006</v>
      </c>
    </row>
    <row r="422" spans="1:16" ht="17.25" thickTop="1" thickBot="1" x14ac:dyDescent="0.3">
      <c r="A422" s="667"/>
      <c r="B422" s="680" t="s">
        <v>377</v>
      </c>
      <c r="C422" s="680">
        <f t="shared" ref="C422:O422" si="291">SUM(C17+C29+C40+C52+C63+C77+C88+C101+C113+C126+C139+C150+C163+C174+C186+C197+C208+C219+C231+C242+C254+C265+C278+C291+C298+C312+C325+C339+C350+C358+C372+C391+C332)</f>
        <v>405324</v>
      </c>
      <c r="D422" s="680">
        <f t="shared" si="291"/>
        <v>22236</v>
      </c>
      <c r="E422" s="680">
        <f t="shared" si="291"/>
        <v>0</v>
      </c>
      <c r="F422" s="680">
        <f t="shared" si="291"/>
        <v>213178</v>
      </c>
      <c r="G422" s="680">
        <f t="shared" si="291"/>
        <v>387</v>
      </c>
      <c r="H422" s="680">
        <f t="shared" si="291"/>
        <v>215</v>
      </c>
      <c r="I422" s="680">
        <f t="shared" si="291"/>
        <v>0</v>
      </c>
      <c r="J422" s="680">
        <f t="shared" si="291"/>
        <v>618717</v>
      </c>
      <c r="K422" s="680">
        <f t="shared" si="291"/>
        <v>22623</v>
      </c>
      <c r="L422" s="680">
        <f t="shared" si="291"/>
        <v>641340</v>
      </c>
      <c r="M422" s="680">
        <f t="shared" si="291"/>
        <v>1940815</v>
      </c>
      <c r="N422" s="680">
        <f t="shared" si="291"/>
        <v>257164</v>
      </c>
      <c r="O422" s="680">
        <f t="shared" si="291"/>
        <v>2839319</v>
      </c>
    </row>
    <row r="423" spans="1:16" ht="33" thickTop="1" thickBot="1" x14ac:dyDescent="0.3">
      <c r="A423" s="667"/>
      <c r="B423" s="680" t="s">
        <v>446</v>
      </c>
      <c r="C423" s="680">
        <f t="shared" ref="C423:O423" si="292">SUM(C392)</f>
        <v>74624</v>
      </c>
      <c r="D423" s="680">
        <f t="shared" si="292"/>
        <v>0</v>
      </c>
      <c r="E423" s="680">
        <f t="shared" si="292"/>
        <v>1207</v>
      </c>
      <c r="F423" s="680">
        <f t="shared" si="292"/>
        <v>1368</v>
      </c>
      <c r="G423" s="680">
        <f t="shared" si="292"/>
        <v>1975</v>
      </c>
      <c r="H423" s="680">
        <f t="shared" si="292"/>
        <v>0</v>
      </c>
      <c r="I423" s="680">
        <f t="shared" si="292"/>
        <v>0</v>
      </c>
      <c r="J423" s="680">
        <f t="shared" si="292"/>
        <v>77199</v>
      </c>
      <c r="K423" s="680">
        <f t="shared" si="292"/>
        <v>1975</v>
      </c>
      <c r="L423" s="680">
        <f t="shared" si="292"/>
        <v>79174</v>
      </c>
      <c r="M423" s="680">
        <f t="shared" si="292"/>
        <v>910156</v>
      </c>
      <c r="N423" s="680">
        <f t="shared" si="292"/>
        <v>0</v>
      </c>
      <c r="O423" s="680">
        <f t="shared" si="292"/>
        <v>989330</v>
      </c>
    </row>
    <row r="424" spans="1:16" ht="16.5" thickTop="1" x14ac:dyDescent="0.25"/>
    <row r="425" spans="1:16" hidden="1" x14ac:dyDescent="0.25"/>
    <row r="426" spans="1:16" hidden="1" x14ac:dyDescent="0.25">
      <c r="C426" s="659">
        <f t="shared" ref="C426:O426" si="293">SUM(C420-C394)</f>
        <v>121848</v>
      </c>
      <c r="D426" s="659">
        <f t="shared" si="293"/>
        <v>19370</v>
      </c>
      <c r="E426" s="659">
        <f t="shared" si="293"/>
        <v>0</v>
      </c>
      <c r="F426" s="659">
        <f t="shared" si="293"/>
        <v>86530</v>
      </c>
      <c r="G426" s="659">
        <f t="shared" si="293"/>
        <v>388</v>
      </c>
      <c r="H426" s="659">
        <f t="shared" si="293"/>
        <v>154</v>
      </c>
      <c r="I426" s="659">
        <f t="shared" si="293"/>
        <v>0</v>
      </c>
      <c r="J426" s="659">
        <f t="shared" si="293"/>
        <v>208532</v>
      </c>
      <c r="K426" s="659">
        <f t="shared" si="293"/>
        <v>19758</v>
      </c>
      <c r="L426" s="659">
        <f t="shared" si="293"/>
        <v>228290</v>
      </c>
      <c r="M426" s="659">
        <f t="shared" si="293"/>
        <v>35354</v>
      </c>
      <c r="N426" s="659">
        <f t="shared" si="293"/>
        <v>-7653</v>
      </c>
      <c r="O426" s="659">
        <f t="shared" si="293"/>
        <v>255991</v>
      </c>
    </row>
    <row r="427" spans="1:16" hidden="1" x14ac:dyDescent="0.25"/>
    <row r="428" spans="1:16" hidden="1" x14ac:dyDescent="0.25">
      <c r="B428" s="650" t="s">
        <v>662</v>
      </c>
      <c r="C428" s="659">
        <f t="shared" ref="C428:O431" si="294">+C420</f>
        <v>1662483</v>
      </c>
      <c r="D428" s="659">
        <f t="shared" si="294"/>
        <v>22236</v>
      </c>
      <c r="E428" s="659">
        <f t="shared" si="294"/>
        <v>1207</v>
      </c>
      <c r="F428" s="659">
        <f t="shared" si="294"/>
        <v>1279975</v>
      </c>
      <c r="G428" s="659">
        <f t="shared" si="294"/>
        <v>5113</v>
      </c>
      <c r="H428" s="659">
        <f t="shared" si="294"/>
        <v>5624</v>
      </c>
      <c r="I428" s="659">
        <f t="shared" si="294"/>
        <v>2067</v>
      </c>
      <c r="J428" s="659">
        <f t="shared" si="294"/>
        <v>2949289</v>
      </c>
      <c r="K428" s="659">
        <f t="shared" si="294"/>
        <v>29416</v>
      </c>
      <c r="L428" s="659">
        <f t="shared" si="294"/>
        <v>2978705</v>
      </c>
      <c r="M428" s="659">
        <f t="shared" si="294"/>
        <v>11524143</v>
      </c>
      <c r="N428" s="659">
        <f t="shared" si="294"/>
        <v>840807</v>
      </c>
      <c r="O428" s="659">
        <f t="shared" si="294"/>
        <v>15343655</v>
      </c>
    </row>
    <row r="429" spans="1:16" hidden="1" x14ac:dyDescent="0.25">
      <c r="B429" s="650" t="s">
        <v>665</v>
      </c>
      <c r="C429" s="659">
        <f>+C421</f>
        <v>1182535</v>
      </c>
      <c r="D429" s="659">
        <f>+D421</f>
        <v>0</v>
      </c>
      <c r="F429" s="659">
        <f>+F421</f>
        <v>1065429</v>
      </c>
      <c r="G429" s="659">
        <f t="shared" si="294"/>
        <v>2751</v>
      </c>
      <c r="H429" s="659">
        <f t="shared" si="294"/>
        <v>5409</v>
      </c>
      <c r="I429" s="659">
        <f t="shared" si="294"/>
        <v>2067</v>
      </c>
      <c r="J429" s="659">
        <f t="shared" si="294"/>
        <v>2253373</v>
      </c>
      <c r="K429" s="659">
        <f t="shared" si="294"/>
        <v>4818</v>
      </c>
      <c r="L429" s="659">
        <f t="shared" si="294"/>
        <v>2258191</v>
      </c>
      <c r="M429" s="659">
        <f t="shared" si="294"/>
        <v>8673172</v>
      </c>
      <c r="N429" s="659">
        <f t="shared" si="294"/>
        <v>583643</v>
      </c>
      <c r="O429" s="659">
        <f t="shared" si="294"/>
        <v>11515006</v>
      </c>
    </row>
    <row r="430" spans="1:16" hidden="1" x14ac:dyDescent="0.25">
      <c r="B430" s="650" t="s">
        <v>377</v>
      </c>
      <c r="C430" s="659">
        <f>+C422</f>
        <v>405324</v>
      </c>
      <c r="F430" s="659">
        <f>+F422</f>
        <v>213178</v>
      </c>
      <c r="G430" s="659">
        <f t="shared" si="294"/>
        <v>387</v>
      </c>
      <c r="H430" s="659">
        <f>+H422</f>
        <v>215</v>
      </c>
      <c r="I430" s="659">
        <f>+I422-0</f>
        <v>0</v>
      </c>
      <c r="J430" s="659">
        <f>+J422</f>
        <v>618717</v>
      </c>
      <c r="L430" s="659">
        <f>+L422</f>
        <v>641340</v>
      </c>
      <c r="M430" s="659">
        <f>+M422</f>
        <v>1940815</v>
      </c>
      <c r="N430" s="659">
        <f>+N422</f>
        <v>257164</v>
      </c>
      <c r="O430" s="659">
        <f>+O422</f>
        <v>2839319</v>
      </c>
    </row>
    <row r="431" spans="1:16" hidden="1" x14ac:dyDescent="0.25">
      <c r="B431" s="650" t="s">
        <v>446</v>
      </c>
      <c r="C431" s="659">
        <f>+C423</f>
        <v>74624</v>
      </c>
      <c r="E431" s="659">
        <f>+E423</f>
        <v>1207</v>
      </c>
      <c r="F431" s="659">
        <f>+F423</f>
        <v>1368</v>
      </c>
      <c r="G431" s="659">
        <f t="shared" si="294"/>
        <v>1975</v>
      </c>
      <c r="H431" s="659">
        <f>+H423-0</f>
        <v>0</v>
      </c>
      <c r="J431" s="659">
        <f>+J423</f>
        <v>77199</v>
      </c>
      <c r="L431" s="659">
        <f>+L423</f>
        <v>79174</v>
      </c>
      <c r="M431" s="659">
        <f>+M423</f>
        <v>910156</v>
      </c>
      <c r="O431" s="659">
        <f>+O423</f>
        <v>989330</v>
      </c>
    </row>
    <row r="432" spans="1:16" hidden="1" x14ac:dyDescent="0.25"/>
    <row r="433" spans="2:15" hidden="1" x14ac:dyDescent="0.25">
      <c r="B433" s="650" t="s">
        <v>666</v>
      </c>
    </row>
    <row r="434" spans="2:15" hidden="1" x14ac:dyDescent="0.25">
      <c r="B434" s="650" t="s">
        <v>662</v>
      </c>
      <c r="C434" s="659">
        <f t="shared" ref="C434:O434" si="295">+C426</f>
        <v>121848</v>
      </c>
      <c r="D434" s="659">
        <f t="shared" si="295"/>
        <v>19370</v>
      </c>
      <c r="E434" s="659">
        <f t="shared" si="295"/>
        <v>0</v>
      </c>
      <c r="F434" s="659">
        <f t="shared" si="295"/>
        <v>86530</v>
      </c>
      <c r="G434" s="659">
        <f t="shared" si="295"/>
        <v>388</v>
      </c>
      <c r="H434" s="659">
        <f t="shared" si="295"/>
        <v>154</v>
      </c>
      <c r="I434" s="659">
        <f t="shared" si="295"/>
        <v>0</v>
      </c>
      <c r="J434" s="659">
        <f t="shared" si="295"/>
        <v>208532</v>
      </c>
      <c r="K434" s="659">
        <f t="shared" si="295"/>
        <v>19758</v>
      </c>
      <c r="L434" s="659">
        <f t="shared" si="295"/>
        <v>228290</v>
      </c>
      <c r="M434" s="659">
        <f t="shared" si="295"/>
        <v>35354</v>
      </c>
      <c r="N434" s="659">
        <f t="shared" si="295"/>
        <v>-7653</v>
      </c>
      <c r="O434" s="659">
        <f t="shared" si="295"/>
        <v>255991</v>
      </c>
    </row>
    <row r="435" spans="2:15" hidden="1" x14ac:dyDescent="0.25">
      <c r="B435" s="650" t="s">
        <v>665</v>
      </c>
      <c r="C435" s="659">
        <f>C396+C397+C398+C399+C400+C401+C402</f>
        <v>113901</v>
      </c>
      <c r="D435" s="659">
        <f t="shared" ref="D435:O435" si="296">D396+D397+D398+D399+D400+D401+D402</f>
        <v>0</v>
      </c>
      <c r="E435" s="659">
        <f t="shared" si="296"/>
        <v>0</v>
      </c>
      <c r="F435" s="659">
        <f t="shared" si="296"/>
        <v>74305</v>
      </c>
      <c r="G435" s="659">
        <f t="shared" si="296"/>
        <v>1</v>
      </c>
      <c r="H435" s="659">
        <f t="shared" si="296"/>
        <v>150</v>
      </c>
      <c r="I435" s="659">
        <f t="shared" si="296"/>
        <v>0</v>
      </c>
      <c r="J435" s="659">
        <f t="shared" si="296"/>
        <v>188356</v>
      </c>
      <c r="K435" s="659">
        <f t="shared" si="296"/>
        <v>1</v>
      </c>
      <c r="L435" s="659">
        <f t="shared" si="296"/>
        <v>188357</v>
      </c>
      <c r="M435" s="659">
        <f t="shared" si="296"/>
        <v>35807</v>
      </c>
      <c r="N435" s="659">
        <f t="shared" si="296"/>
        <v>-7627</v>
      </c>
      <c r="O435" s="659">
        <f t="shared" si="296"/>
        <v>216537</v>
      </c>
    </row>
    <row r="436" spans="2:15" hidden="1" x14ac:dyDescent="0.25">
      <c r="B436" s="650" t="s">
        <v>377</v>
      </c>
      <c r="C436" s="659">
        <f>C404+C405+C406+C407+C408+C409+C410+C411+C412+C413+C414+C415+C416</f>
        <v>7947</v>
      </c>
      <c r="D436" s="659">
        <f t="shared" ref="D436:O436" si="297">D404+D405+D406+D407+D408+D409+D410+D411+D412+D413+D414+D415+D416</f>
        <v>19370</v>
      </c>
      <c r="E436" s="659">
        <f t="shared" si="297"/>
        <v>0</v>
      </c>
      <c r="F436" s="659">
        <f t="shared" si="297"/>
        <v>12225</v>
      </c>
      <c r="G436" s="659">
        <f t="shared" si="297"/>
        <v>387</v>
      </c>
      <c r="H436" s="659">
        <f t="shared" si="297"/>
        <v>4</v>
      </c>
      <c r="I436" s="659">
        <f t="shared" si="297"/>
        <v>0</v>
      </c>
      <c r="J436" s="659">
        <f t="shared" si="297"/>
        <v>20176</v>
      </c>
      <c r="K436" s="659">
        <f t="shared" si="297"/>
        <v>19757</v>
      </c>
      <c r="L436" s="659">
        <f t="shared" si="297"/>
        <v>39933</v>
      </c>
      <c r="M436" s="659">
        <f t="shared" si="297"/>
        <v>-453</v>
      </c>
      <c r="N436" s="659">
        <f t="shared" si="297"/>
        <v>-26</v>
      </c>
      <c r="O436" s="659">
        <f t="shared" si="297"/>
        <v>39454</v>
      </c>
    </row>
    <row r="437" spans="2:15" hidden="1" x14ac:dyDescent="0.25">
      <c r="B437" s="650" t="s">
        <v>446</v>
      </c>
      <c r="C437" s="659">
        <f>C418+C419</f>
        <v>0</v>
      </c>
      <c r="D437" s="659">
        <f t="shared" ref="D437:O437" si="298">D418+D419</f>
        <v>0</v>
      </c>
      <c r="E437" s="659">
        <f t="shared" si="298"/>
        <v>0</v>
      </c>
      <c r="F437" s="659">
        <f t="shared" si="298"/>
        <v>0</v>
      </c>
      <c r="G437" s="659">
        <f t="shared" si="298"/>
        <v>0</v>
      </c>
      <c r="H437" s="659">
        <f t="shared" si="298"/>
        <v>0</v>
      </c>
      <c r="I437" s="659">
        <f t="shared" si="298"/>
        <v>0</v>
      </c>
      <c r="J437" s="659">
        <f t="shared" si="298"/>
        <v>0</v>
      </c>
      <c r="K437" s="659">
        <f t="shared" si="298"/>
        <v>0</v>
      </c>
      <c r="L437" s="659">
        <f t="shared" si="298"/>
        <v>0</v>
      </c>
      <c r="M437" s="659">
        <f t="shared" si="298"/>
        <v>0</v>
      </c>
      <c r="N437" s="659">
        <f t="shared" si="298"/>
        <v>0</v>
      </c>
      <c r="O437" s="659">
        <f t="shared" si="298"/>
        <v>0</v>
      </c>
    </row>
    <row r="438" spans="2:15" hidden="1" x14ac:dyDescent="0.25"/>
    <row r="439" spans="2:15" hidden="1" x14ac:dyDescent="0.25">
      <c r="B439" s="650" t="s">
        <v>667</v>
      </c>
      <c r="C439" s="659">
        <f>C437+C436+C435</f>
        <v>121848</v>
      </c>
      <c r="D439" s="659">
        <f t="shared" ref="D439:O439" si="299">D437+D436+D435</f>
        <v>19370</v>
      </c>
      <c r="E439" s="659">
        <f t="shared" si="299"/>
        <v>0</v>
      </c>
      <c r="F439" s="659">
        <f t="shared" si="299"/>
        <v>86530</v>
      </c>
      <c r="G439" s="659">
        <f t="shared" si="299"/>
        <v>388</v>
      </c>
      <c r="H439" s="659">
        <f t="shared" si="299"/>
        <v>154</v>
      </c>
      <c r="I439" s="659">
        <f t="shared" si="299"/>
        <v>0</v>
      </c>
      <c r="J439" s="659">
        <f t="shared" si="299"/>
        <v>208532</v>
      </c>
      <c r="K439" s="659">
        <f t="shared" si="299"/>
        <v>19758</v>
      </c>
      <c r="L439" s="659">
        <f t="shared" si="299"/>
        <v>228290</v>
      </c>
      <c r="M439" s="659">
        <f t="shared" si="299"/>
        <v>35354</v>
      </c>
      <c r="N439" s="659">
        <f t="shared" si="299"/>
        <v>-7653</v>
      </c>
      <c r="O439" s="659">
        <f t="shared" si="299"/>
        <v>255991</v>
      </c>
    </row>
    <row r="440" spans="2:15" hidden="1" x14ac:dyDescent="0.25"/>
  </sheetData>
  <mergeCells count="17">
    <mergeCell ref="O2:O3"/>
    <mergeCell ref="M4:N4"/>
    <mergeCell ref="B1:P1"/>
    <mergeCell ref="A2:A4"/>
    <mergeCell ref="B2:B3"/>
    <mergeCell ref="C2:C3"/>
    <mergeCell ref="D2:D3"/>
    <mergeCell ref="E2:E3"/>
    <mergeCell ref="F2:F3"/>
    <mergeCell ref="G2:G3"/>
    <mergeCell ref="H2:H3"/>
    <mergeCell ref="I2:I3"/>
    <mergeCell ref="M5:N5"/>
    <mergeCell ref="J2:J3"/>
    <mergeCell ref="K2:K3"/>
    <mergeCell ref="L2:L3"/>
    <mergeCell ref="M2:N2"/>
  </mergeCells>
  <pageMargins left="0.70866141732283472" right="0.70866141732283472" top="0.74803149606299213" bottom="0.74803149606299213" header="0.31496062992125984" footer="0.31496062992125984"/>
  <pageSetup paperSize="9" scale="53" orientation="landscape" r:id="rId1"/>
  <headerFooter>
    <oddHeader>&amp;R &amp;"Times New Roman CE,Félkövér" 7. melléklet a 12/2021.(II.25.) önkormányzati rendelethez&amp;"Times New Roman CE,Normál"
7&amp;"Times New Roman CE,Dőlt". melléklet
az 5/2020.(II.17.) önkormányzati rendelethez</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E9FAC-B85F-4D8F-B990-04403AE741CD}">
  <dimension ref="A1:P434"/>
  <sheetViews>
    <sheetView view="pageBreakPreview" zoomScale="60" zoomScaleNormal="70" workbookViewId="0">
      <pane xSplit="1" ySplit="5" topLeftCell="B408" activePane="bottomRight" state="frozen"/>
      <selection activeCell="F12" sqref="F12"/>
      <selection pane="topRight" activeCell="F12" sqref="F12"/>
      <selection pane="bottomLeft" activeCell="F12" sqref="F12"/>
      <selection pane="bottomRight" activeCell="B449" sqref="B449"/>
    </sheetView>
  </sheetViews>
  <sheetFormatPr defaultRowHeight="15.75" x14ac:dyDescent="0.25"/>
  <cols>
    <col min="1" max="1" width="3.625" style="615" customWidth="1"/>
    <col min="2" max="2" width="36.75" style="615" customWidth="1"/>
    <col min="3" max="3" width="10.875" style="615" customWidth="1"/>
    <col min="4" max="4" width="15.625" style="615" customWidth="1"/>
    <col min="5" max="5" width="11.25" style="615" customWidth="1"/>
    <col min="6" max="6" width="11" style="615" customWidth="1"/>
    <col min="7" max="7" width="10.875" style="615" customWidth="1"/>
    <col min="8" max="8" width="11.125" style="615" customWidth="1"/>
    <col min="9" max="9" width="12.5" style="615" customWidth="1"/>
    <col min="10" max="10" width="11.5" style="615" customWidth="1"/>
    <col min="11" max="11" width="13.25" style="615" customWidth="1"/>
    <col min="12" max="12" width="13.125" style="615" customWidth="1"/>
    <col min="13" max="13" width="12.625" style="615" customWidth="1"/>
    <col min="14" max="14" width="14" style="615" customWidth="1"/>
    <col min="15" max="15" width="12.25" style="615" customWidth="1"/>
    <col min="16" max="16" width="16.375" style="615" customWidth="1"/>
    <col min="17" max="16384" width="9" style="615"/>
  </cols>
  <sheetData>
    <row r="1" spans="1:16" x14ac:dyDescent="0.25">
      <c r="A1" s="993" t="s">
        <v>787</v>
      </c>
      <c r="B1" s="993"/>
      <c r="C1" s="993"/>
      <c r="D1" s="993"/>
      <c r="E1" s="993"/>
      <c r="F1" s="993"/>
      <c r="G1" s="993"/>
      <c r="H1" s="993"/>
      <c r="I1" s="993"/>
      <c r="J1" s="993"/>
      <c r="K1" s="993"/>
      <c r="L1" s="993"/>
      <c r="M1" s="993"/>
      <c r="N1" s="993"/>
      <c r="O1" s="993"/>
    </row>
    <row r="2" spans="1:16" ht="16.5" thickBot="1" x14ac:dyDescent="0.3"/>
    <row r="3" spans="1:16" ht="58.5" thickTop="1" thickBot="1" x14ac:dyDescent="0.3">
      <c r="A3" s="709" t="s">
        <v>441</v>
      </c>
      <c r="B3" s="710" t="s">
        <v>440</v>
      </c>
      <c r="C3" s="711" t="s">
        <v>31</v>
      </c>
      <c r="D3" s="712" t="s">
        <v>439</v>
      </c>
      <c r="E3" s="712" t="s">
        <v>57</v>
      </c>
      <c r="F3" s="713" t="s">
        <v>438</v>
      </c>
      <c r="G3" s="712" t="s">
        <v>437</v>
      </c>
      <c r="H3" s="712" t="s">
        <v>448</v>
      </c>
      <c r="I3" s="714" t="s">
        <v>52</v>
      </c>
      <c r="J3" s="715" t="s">
        <v>60</v>
      </c>
      <c r="K3" s="713" t="s">
        <v>254</v>
      </c>
      <c r="L3" s="712" t="s">
        <v>449</v>
      </c>
      <c r="M3" s="712" t="s">
        <v>255</v>
      </c>
      <c r="N3" s="712" t="s">
        <v>436</v>
      </c>
      <c r="O3" s="712" t="s">
        <v>435</v>
      </c>
    </row>
    <row r="4" spans="1:16" ht="17.25" thickTop="1" thickBot="1" x14ac:dyDescent="0.3">
      <c r="A4" s="709"/>
      <c r="B4" s="710"/>
      <c r="C4" s="711" t="s">
        <v>154</v>
      </c>
      <c r="D4" s="712" t="s">
        <v>155</v>
      </c>
      <c r="E4" s="712" t="s">
        <v>156</v>
      </c>
      <c r="F4" s="713" t="s">
        <v>157</v>
      </c>
      <c r="G4" s="712" t="s">
        <v>256</v>
      </c>
      <c r="H4" s="712" t="s">
        <v>434</v>
      </c>
      <c r="I4" s="714" t="s">
        <v>158</v>
      </c>
      <c r="J4" s="715" t="s">
        <v>159</v>
      </c>
      <c r="K4" s="713" t="s">
        <v>160</v>
      </c>
      <c r="L4" s="712" t="s">
        <v>433</v>
      </c>
      <c r="M4" s="712" t="s">
        <v>271</v>
      </c>
      <c r="N4" s="712" t="s">
        <v>209</v>
      </c>
      <c r="O4" s="712" t="s">
        <v>432</v>
      </c>
    </row>
    <row r="5" spans="1:16" s="722" customFormat="1" ht="14.25" thickTop="1" thickBot="1" x14ac:dyDescent="0.25">
      <c r="A5" s="716" t="s">
        <v>137</v>
      </c>
      <c r="B5" s="717" t="s">
        <v>138</v>
      </c>
      <c r="C5" s="718" t="s">
        <v>492</v>
      </c>
      <c r="D5" s="718" t="s">
        <v>140</v>
      </c>
      <c r="E5" s="718" t="s">
        <v>141</v>
      </c>
      <c r="F5" s="719" t="s">
        <v>142</v>
      </c>
      <c r="G5" s="718" t="s">
        <v>414</v>
      </c>
      <c r="H5" s="720" t="s">
        <v>431</v>
      </c>
      <c r="I5" s="721" t="s">
        <v>36</v>
      </c>
      <c r="J5" s="718" t="s">
        <v>37</v>
      </c>
      <c r="K5" s="719" t="s">
        <v>430</v>
      </c>
      <c r="L5" s="718" t="s">
        <v>429</v>
      </c>
      <c r="M5" s="718" t="s">
        <v>428</v>
      </c>
      <c r="N5" s="718" t="s">
        <v>427</v>
      </c>
      <c r="O5" s="718" t="s">
        <v>426</v>
      </c>
    </row>
    <row r="6" spans="1:16" ht="16.5" thickTop="1" x14ac:dyDescent="0.25">
      <c r="A6" s="723" t="s">
        <v>144</v>
      </c>
      <c r="B6" s="724" t="s">
        <v>410</v>
      </c>
      <c r="C6" s="725"/>
      <c r="D6" s="726"/>
      <c r="E6" s="726"/>
      <c r="F6" s="727"/>
      <c r="G6" s="726"/>
      <c r="H6" s="728"/>
      <c r="I6" s="729"/>
      <c r="J6" s="727"/>
      <c r="K6" s="727"/>
      <c r="L6" s="728"/>
      <c r="M6" s="730"/>
      <c r="N6" s="730"/>
      <c r="O6" s="730"/>
    </row>
    <row r="7" spans="1:16" x14ac:dyDescent="0.25">
      <c r="A7" s="723"/>
      <c r="B7" s="679" t="s">
        <v>347</v>
      </c>
      <c r="C7" s="725">
        <f>SUM(C8:C9)</f>
        <v>726989</v>
      </c>
      <c r="D7" s="725">
        <f t="shared" ref="D7:K7" si="0">SUM(D8:D9)</f>
        <v>128220</v>
      </c>
      <c r="E7" s="725">
        <f t="shared" si="0"/>
        <v>370924</v>
      </c>
      <c r="F7" s="725">
        <f t="shared" si="0"/>
        <v>0</v>
      </c>
      <c r="G7" s="725">
        <f t="shared" si="0"/>
        <v>0</v>
      </c>
      <c r="H7" s="728">
        <f>SUM(C7:G7)</f>
        <v>1226133</v>
      </c>
      <c r="I7" s="729">
        <f t="shared" si="0"/>
        <v>11002</v>
      </c>
      <c r="J7" s="729">
        <f t="shared" si="0"/>
        <v>0</v>
      </c>
      <c r="K7" s="729">
        <f t="shared" si="0"/>
        <v>0</v>
      </c>
      <c r="L7" s="728">
        <f t="shared" ref="L7:L12" si="1">SUM(I7:K7)</f>
        <v>11002</v>
      </c>
      <c r="M7" s="730">
        <f t="shared" ref="M7:M12" si="2">SUM(H7+L7)</f>
        <v>1237135</v>
      </c>
      <c r="N7" s="730">
        <f t="shared" ref="N7" si="3">SUM(N8:N9)</f>
        <v>0</v>
      </c>
      <c r="O7" s="730">
        <f t="shared" ref="O7:O12" si="4">SUM(M7+N7)</f>
        <v>1237135</v>
      </c>
    </row>
    <row r="8" spans="1:16" s="740" customFormat="1" x14ac:dyDescent="0.25">
      <c r="A8" s="731"/>
      <c r="B8" s="732" t="s">
        <v>381</v>
      </c>
      <c r="C8" s="733">
        <v>568931</v>
      </c>
      <c r="D8" s="734">
        <v>98544</v>
      </c>
      <c r="E8" s="734">
        <v>331294</v>
      </c>
      <c r="F8" s="735"/>
      <c r="G8" s="734"/>
      <c r="H8" s="736">
        <f>SUM(C8:G8)</f>
        <v>998769</v>
      </c>
      <c r="I8" s="737">
        <v>11002</v>
      </c>
      <c r="J8" s="738"/>
      <c r="K8" s="738"/>
      <c r="L8" s="736">
        <f t="shared" si="1"/>
        <v>11002</v>
      </c>
      <c r="M8" s="739">
        <f t="shared" si="2"/>
        <v>1009771</v>
      </c>
      <c r="N8" s="739"/>
      <c r="O8" s="739">
        <f t="shared" si="4"/>
        <v>1009771</v>
      </c>
    </row>
    <row r="9" spans="1:16" x14ac:dyDescent="0.25">
      <c r="A9" s="723"/>
      <c r="B9" s="732" t="s">
        <v>380</v>
      </c>
      <c r="C9" s="733">
        <v>158058</v>
      </c>
      <c r="D9" s="734">
        <v>29676</v>
      </c>
      <c r="E9" s="734">
        <v>39630</v>
      </c>
      <c r="F9" s="727"/>
      <c r="G9" s="726"/>
      <c r="H9" s="736">
        <f>SUM(C9:G9)</f>
        <v>227364</v>
      </c>
      <c r="I9" s="729"/>
      <c r="J9" s="727"/>
      <c r="K9" s="727"/>
      <c r="L9" s="728">
        <f t="shared" si="1"/>
        <v>0</v>
      </c>
      <c r="M9" s="739">
        <f t="shared" si="2"/>
        <v>227364</v>
      </c>
      <c r="N9" s="739"/>
      <c r="O9" s="739">
        <f t="shared" si="4"/>
        <v>227364</v>
      </c>
    </row>
    <row r="10" spans="1:16" s="740" customFormat="1" x14ac:dyDescent="0.25">
      <c r="A10" s="731"/>
      <c r="B10" s="732" t="s">
        <v>131</v>
      </c>
      <c r="C10" s="733"/>
      <c r="D10" s="734"/>
      <c r="E10" s="734"/>
      <c r="F10" s="735"/>
      <c r="G10" s="734"/>
      <c r="H10" s="728"/>
      <c r="I10" s="737"/>
      <c r="J10" s="738"/>
      <c r="K10" s="738"/>
      <c r="L10" s="728">
        <f t="shared" si="1"/>
        <v>0</v>
      </c>
      <c r="M10" s="730">
        <f t="shared" si="2"/>
        <v>0</v>
      </c>
      <c r="N10" s="739"/>
      <c r="O10" s="730">
        <f t="shared" si="4"/>
        <v>0</v>
      </c>
    </row>
    <row r="11" spans="1:16" ht="31.5" x14ac:dyDescent="0.25">
      <c r="A11" s="723"/>
      <c r="B11" s="679" t="s">
        <v>1214</v>
      </c>
      <c r="C11" s="725">
        <v>1</v>
      </c>
      <c r="D11" s="726"/>
      <c r="E11" s="726"/>
      <c r="F11" s="727"/>
      <c r="G11" s="726"/>
      <c r="H11" s="728">
        <f t="shared" ref="H11:H12" si="5">SUM(C11:G11)</f>
        <v>1</v>
      </c>
      <c r="I11" s="729"/>
      <c r="J11" s="727"/>
      <c r="K11" s="727"/>
      <c r="L11" s="728">
        <f t="shared" si="1"/>
        <v>0</v>
      </c>
      <c r="M11" s="730">
        <f t="shared" si="2"/>
        <v>1</v>
      </c>
      <c r="N11" s="730"/>
      <c r="O11" s="730">
        <f t="shared" si="4"/>
        <v>1</v>
      </c>
    </row>
    <row r="12" spans="1:16" ht="31.5" x14ac:dyDescent="0.25">
      <c r="A12" s="723"/>
      <c r="B12" s="679" t="s">
        <v>915</v>
      </c>
      <c r="C12" s="725">
        <f>39345+1</f>
        <v>39346</v>
      </c>
      <c r="D12" s="726"/>
      <c r="E12" s="726">
        <f>80382+5664-1</f>
        <v>86045</v>
      </c>
      <c r="F12" s="727"/>
      <c r="G12" s="726"/>
      <c r="H12" s="728">
        <f t="shared" si="5"/>
        <v>125391</v>
      </c>
      <c r="I12" s="741">
        <v>2371</v>
      </c>
      <c r="J12" s="742"/>
      <c r="K12" s="742"/>
      <c r="L12" s="728">
        <f t="shared" si="1"/>
        <v>2371</v>
      </c>
      <c r="M12" s="730">
        <f t="shared" si="2"/>
        <v>127762</v>
      </c>
      <c r="N12" s="730"/>
      <c r="O12" s="730">
        <f t="shared" si="4"/>
        <v>127762</v>
      </c>
    </row>
    <row r="13" spans="1:16" s="740" customFormat="1" ht="16.5" thickBot="1" x14ac:dyDescent="0.3">
      <c r="A13" s="731"/>
      <c r="B13" s="732" t="s">
        <v>132</v>
      </c>
      <c r="C13" s="733"/>
      <c r="D13" s="734"/>
      <c r="E13" s="734"/>
      <c r="F13" s="735"/>
      <c r="G13" s="734"/>
      <c r="H13" s="728"/>
      <c r="I13" s="737"/>
      <c r="J13" s="738"/>
      <c r="K13" s="738"/>
      <c r="L13" s="728"/>
      <c r="M13" s="730"/>
      <c r="N13" s="739"/>
      <c r="O13" s="730"/>
    </row>
    <row r="14" spans="1:16" ht="17.25" thickTop="1" thickBot="1" x14ac:dyDescent="0.3">
      <c r="A14" s="743"/>
      <c r="B14" s="744" t="s">
        <v>379</v>
      </c>
      <c r="C14" s="745">
        <f>+C7+C11+C12</f>
        <v>766336</v>
      </c>
      <c r="D14" s="745">
        <f t="shared" ref="D14:O14" si="6">+D7+D11+D12</f>
        <v>128220</v>
      </c>
      <c r="E14" s="745">
        <f t="shared" si="6"/>
        <v>456969</v>
      </c>
      <c r="F14" s="745">
        <f t="shared" si="6"/>
        <v>0</v>
      </c>
      <c r="G14" s="745">
        <f t="shared" si="6"/>
        <v>0</v>
      </c>
      <c r="H14" s="745">
        <f t="shared" si="6"/>
        <v>1351525</v>
      </c>
      <c r="I14" s="745">
        <f t="shared" si="6"/>
        <v>13373</v>
      </c>
      <c r="J14" s="745">
        <f t="shared" si="6"/>
        <v>0</v>
      </c>
      <c r="K14" s="745">
        <f t="shared" si="6"/>
        <v>0</v>
      </c>
      <c r="L14" s="745">
        <f t="shared" si="6"/>
        <v>13373</v>
      </c>
      <c r="M14" s="745">
        <f t="shared" si="6"/>
        <v>1364898</v>
      </c>
      <c r="N14" s="745">
        <f t="shared" si="6"/>
        <v>0</v>
      </c>
      <c r="O14" s="745">
        <f t="shared" si="6"/>
        <v>1364898</v>
      </c>
      <c r="P14" s="650">
        <f>O15+O16</f>
        <v>1364898</v>
      </c>
    </row>
    <row r="15" spans="1:16" ht="17.25" thickTop="1" thickBot="1" x14ac:dyDescent="0.3">
      <c r="A15" s="743"/>
      <c r="B15" s="744" t="s">
        <v>378</v>
      </c>
      <c r="C15" s="745">
        <f>+C8+C11+C12</f>
        <v>608278</v>
      </c>
      <c r="D15" s="745">
        <f t="shared" ref="D15:O15" si="7">+D8+D11+D12</f>
        <v>98544</v>
      </c>
      <c r="E15" s="745">
        <f t="shared" si="7"/>
        <v>417339</v>
      </c>
      <c r="F15" s="745">
        <f t="shared" si="7"/>
        <v>0</v>
      </c>
      <c r="G15" s="745">
        <f t="shared" si="7"/>
        <v>0</v>
      </c>
      <c r="H15" s="745">
        <f t="shared" si="7"/>
        <v>1124161</v>
      </c>
      <c r="I15" s="745">
        <f t="shared" si="7"/>
        <v>13373</v>
      </c>
      <c r="J15" s="745">
        <f t="shared" si="7"/>
        <v>0</v>
      </c>
      <c r="K15" s="745">
        <f t="shared" si="7"/>
        <v>0</v>
      </c>
      <c r="L15" s="745">
        <f t="shared" si="7"/>
        <v>13373</v>
      </c>
      <c r="M15" s="745">
        <f t="shared" si="7"/>
        <v>1137534</v>
      </c>
      <c r="N15" s="745">
        <f t="shared" si="7"/>
        <v>0</v>
      </c>
      <c r="O15" s="745">
        <f t="shared" si="7"/>
        <v>1137534</v>
      </c>
      <c r="P15" s="650"/>
    </row>
    <row r="16" spans="1:16" ht="17.25" thickTop="1" thickBot="1" x14ac:dyDescent="0.3">
      <c r="A16" s="743"/>
      <c r="B16" s="744" t="s">
        <v>377</v>
      </c>
      <c r="C16" s="745">
        <f>+C9</f>
        <v>158058</v>
      </c>
      <c r="D16" s="745">
        <f t="shared" ref="D16:O16" si="8">+D9</f>
        <v>29676</v>
      </c>
      <c r="E16" s="745">
        <f t="shared" si="8"/>
        <v>39630</v>
      </c>
      <c r="F16" s="745">
        <f t="shared" si="8"/>
        <v>0</v>
      </c>
      <c r="G16" s="745">
        <f t="shared" si="8"/>
        <v>0</v>
      </c>
      <c r="H16" s="745">
        <f t="shared" si="8"/>
        <v>227364</v>
      </c>
      <c r="I16" s="745">
        <f t="shared" si="8"/>
        <v>0</v>
      </c>
      <c r="J16" s="745">
        <f t="shared" si="8"/>
        <v>0</v>
      </c>
      <c r="K16" s="745">
        <f t="shared" si="8"/>
        <v>0</v>
      </c>
      <c r="L16" s="745">
        <f t="shared" si="8"/>
        <v>0</v>
      </c>
      <c r="M16" s="745">
        <f t="shared" si="8"/>
        <v>227364</v>
      </c>
      <c r="N16" s="745">
        <f t="shared" si="8"/>
        <v>0</v>
      </c>
      <c r="O16" s="745">
        <f t="shared" si="8"/>
        <v>227364</v>
      </c>
    </row>
    <row r="17" spans="1:16" ht="32.25" thickTop="1" x14ac:dyDescent="0.25">
      <c r="A17" s="723" t="s">
        <v>145</v>
      </c>
      <c r="B17" s="724" t="s">
        <v>409</v>
      </c>
      <c r="C17" s="725"/>
      <c r="D17" s="726"/>
      <c r="E17" s="726"/>
      <c r="F17" s="727"/>
      <c r="G17" s="726"/>
      <c r="H17" s="728"/>
      <c r="I17" s="729"/>
      <c r="J17" s="727"/>
      <c r="K17" s="727"/>
      <c r="L17" s="728"/>
      <c r="M17" s="730"/>
      <c r="N17" s="730"/>
      <c r="O17" s="730"/>
    </row>
    <row r="18" spans="1:16" x14ac:dyDescent="0.25">
      <c r="A18" s="723"/>
      <c r="B18" s="679" t="s">
        <v>347</v>
      </c>
      <c r="C18" s="725">
        <f>SUM(C19:C20)</f>
        <v>106470</v>
      </c>
      <c r="D18" s="725">
        <f>SUM(D19:D20)</f>
        <v>17476</v>
      </c>
      <c r="E18" s="725">
        <f>SUM(E19:E20)</f>
        <v>29943</v>
      </c>
      <c r="F18" s="725">
        <f t="shared" ref="F18:G18" si="9">SUM(F19:F20)</f>
        <v>0</v>
      </c>
      <c r="G18" s="725">
        <f t="shared" si="9"/>
        <v>0</v>
      </c>
      <c r="H18" s="728">
        <f>SUM(C18:G18)</f>
        <v>153889</v>
      </c>
      <c r="I18" s="729">
        <f>SUM(I19:I20)</f>
        <v>314</v>
      </c>
      <c r="J18" s="727">
        <f t="shared" ref="J18:K18" si="10">SUM(J19:J20)</f>
        <v>0</v>
      </c>
      <c r="K18" s="727">
        <f t="shared" si="10"/>
        <v>0</v>
      </c>
      <c r="L18" s="728">
        <f>SUM(I18:K18)</f>
        <v>314</v>
      </c>
      <c r="M18" s="730">
        <f>SUM(H18+L18)</f>
        <v>154203</v>
      </c>
      <c r="N18" s="730"/>
      <c r="O18" s="730">
        <f>SUM(M18+N18)</f>
        <v>154203</v>
      </c>
    </row>
    <row r="19" spans="1:16" s="740" customFormat="1" x14ac:dyDescent="0.25">
      <c r="A19" s="731"/>
      <c r="B19" s="732" t="s">
        <v>381</v>
      </c>
      <c r="C19" s="733">
        <v>56157</v>
      </c>
      <c r="D19" s="734">
        <v>8803</v>
      </c>
      <c r="E19" s="734">
        <v>12264</v>
      </c>
      <c r="F19" s="735"/>
      <c r="G19" s="734"/>
      <c r="H19" s="736">
        <f>SUM(C19:G19)</f>
        <v>77224</v>
      </c>
      <c r="I19" s="746">
        <v>314</v>
      </c>
      <c r="J19" s="735"/>
      <c r="K19" s="735"/>
      <c r="L19" s="736">
        <f>SUM(I19:K19)</f>
        <v>314</v>
      </c>
      <c r="M19" s="739">
        <f>SUM(H19+L19)</f>
        <v>77538</v>
      </c>
      <c r="N19" s="739"/>
      <c r="O19" s="739">
        <f>SUM(M19+N19)</f>
        <v>77538</v>
      </c>
    </row>
    <row r="20" spans="1:16" x14ac:dyDescent="0.25">
      <c r="A20" s="723"/>
      <c r="B20" s="732" t="s">
        <v>380</v>
      </c>
      <c r="C20" s="733">
        <v>50313</v>
      </c>
      <c r="D20" s="734">
        <v>8673</v>
      </c>
      <c r="E20" s="734">
        <v>17679</v>
      </c>
      <c r="F20" s="735"/>
      <c r="G20" s="734"/>
      <c r="H20" s="736">
        <f>SUM(C20:G20)</f>
        <v>76665</v>
      </c>
      <c r="I20" s="746"/>
      <c r="J20" s="735"/>
      <c r="K20" s="735"/>
      <c r="L20" s="736">
        <f>SUM(I20:K20)</f>
        <v>0</v>
      </c>
      <c r="M20" s="739">
        <f>SUM(H20+L20)</f>
        <v>76665</v>
      </c>
      <c r="N20" s="739"/>
      <c r="O20" s="739">
        <f>SUM(M20+N20)</f>
        <v>76665</v>
      </c>
    </row>
    <row r="21" spans="1:16" x14ac:dyDescent="0.25">
      <c r="A21" s="747"/>
      <c r="B21" s="748" t="s">
        <v>131</v>
      </c>
      <c r="C21" s="725"/>
      <c r="D21" s="726"/>
      <c r="E21" s="726"/>
      <c r="F21" s="727"/>
      <c r="G21" s="726"/>
      <c r="H21" s="736"/>
      <c r="I21" s="729"/>
      <c r="J21" s="727"/>
      <c r="K21" s="727"/>
      <c r="L21" s="736"/>
      <c r="M21" s="736"/>
      <c r="N21" s="728"/>
      <c r="O21" s="736"/>
    </row>
    <row r="22" spans="1:16" ht="31.5" x14ac:dyDescent="0.25">
      <c r="A22" s="747"/>
      <c r="B22" s="679" t="s">
        <v>1214</v>
      </c>
      <c r="C22" s="725">
        <v>-2</v>
      </c>
      <c r="D22" s="726">
        <v>-1</v>
      </c>
      <c r="E22" s="726"/>
      <c r="F22" s="727"/>
      <c r="G22" s="726"/>
      <c r="H22" s="749">
        <f t="shared" ref="H22:H24" si="11">SUM(C22:G22)</f>
        <v>-3</v>
      </c>
      <c r="I22" s="729"/>
      <c r="J22" s="727"/>
      <c r="K22" s="727"/>
      <c r="L22" s="749">
        <f t="shared" ref="L22:L24" si="12">SUM(I22:K22)</f>
        <v>0</v>
      </c>
      <c r="M22" s="749">
        <f t="shared" ref="M22:M24" si="13">SUM(H22+L22)</f>
        <v>-3</v>
      </c>
      <c r="N22" s="728"/>
      <c r="O22" s="749">
        <f t="shared" ref="O22:O24" si="14">SUM(M22+N22)</f>
        <v>-3</v>
      </c>
    </row>
    <row r="23" spans="1:16" ht="31.5" x14ac:dyDescent="0.25">
      <c r="A23" s="723"/>
      <c r="B23" s="679" t="s">
        <v>564</v>
      </c>
      <c r="C23" s="725">
        <v>-247</v>
      </c>
      <c r="D23" s="726"/>
      <c r="E23" s="726">
        <f>-196+247</f>
        <v>51</v>
      </c>
      <c r="F23" s="727"/>
      <c r="G23" s="726"/>
      <c r="H23" s="749">
        <f t="shared" si="11"/>
        <v>-196</v>
      </c>
      <c r="I23" s="729">
        <v>196</v>
      </c>
      <c r="J23" s="727"/>
      <c r="K23" s="727"/>
      <c r="L23" s="749">
        <f t="shared" si="12"/>
        <v>196</v>
      </c>
      <c r="M23" s="750">
        <f t="shared" si="13"/>
        <v>0</v>
      </c>
      <c r="N23" s="730"/>
      <c r="O23" s="750">
        <f t="shared" si="14"/>
        <v>0</v>
      </c>
    </row>
    <row r="24" spans="1:16" ht="31.5" x14ac:dyDescent="0.25">
      <c r="A24" s="723"/>
      <c r="B24" s="679" t="s">
        <v>915</v>
      </c>
      <c r="C24" s="725"/>
      <c r="D24" s="726"/>
      <c r="E24" s="726">
        <v>457</v>
      </c>
      <c r="F24" s="727"/>
      <c r="G24" s="726"/>
      <c r="H24" s="749">
        <f t="shared" si="11"/>
        <v>457</v>
      </c>
      <c r="I24" s="729"/>
      <c r="J24" s="727"/>
      <c r="K24" s="727"/>
      <c r="L24" s="749">
        <f t="shared" si="12"/>
        <v>0</v>
      </c>
      <c r="M24" s="750">
        <f t="shared" si="13"/>
        <v>457</v>
      </c>
      <c r="N24" s="730"/>
      <c r="O24" s="750">
        <f t="shared" si="14"/>
        <v>457</v>
      </c>
    </row>
    <row r="25" spans="1:16" ht="16.5" thickBot="1" x14ac:dyDescent="0.3">
      <c r="A25" s="723"/>
      <c r="B25" s="732" t="s">
        <v>132</v>
      </c>
      <c r="C25" s="725"/>
      <c r="D25" s="726"/>
      <c r="E25" s="726"/>
      <c r="F25" s="727"/>
      <c r="G25" s="726"/>
      <c r="H25" s="736"/>
      <c r="I25" s="729"/>
      <c r="J25" s="727"/>
      <c r="K25" s="727"/>
      <c r="L25" s="749"/>
      <c r="M25" s="750"/>
      <c r="N25" s="730"/>
      <c r="O25" s="750"/>
    </row>
    <row r="26" spans="1:16" ht="17.25" thickTop="1" thickBot="1" x14ac:dyDescent="0.3">
      <c r="A26" s="743"/>
      <c r="B26" s="744" t="s">
        <v>379</v>
      </c>
      <c r="C26" s="745">
        <f>+C18+C22+C23+C24</f>
        <v>106221</v>
      </c>
      <c r="D26" s="745">
        <f t="shared" ref="D26:O26" si="15">+D18+D22+D23+D24</f>
        <v>17475</v>
      </c>
      <c r="E26" s="745">
        <f t="shared" si="15"/>
        <v>30451</v>
      </c>
      <c r="F26" s="745">
        <f t="shared" si="15"/>
        <v>0</v>
      </c>
      <c r="G26" s="745">
        <f t="shared" si="15"/>
        <v>0</v>
      </c>
      <c r="H26" s="745">
        <f t="shared" si="15"/>
        <v>154147</v>
      </c>
      <c r="I26" s="745">
        <f t="shared" si="15"/>
        <v>510</v>
      </c>
      <c r="J26" s="745">
        <f t="shared" si="15"/>
        <v>0</v>
      </c>
      <c r="K26" s="745">
        <f t="shared" si="15"/>
        <v>0</v>
      </c>
      <c r="L26" s="745">
        <f t="shared" si="15"/>
        <v>510</v>
      </c>
      <c r="M26" s="745">
        <f t="shared" si="15"/>
        <v>154657</v>
      </c>
      <c r="N26" s="745">
        <f t="shared" si="15"/>
        <v>0</v>
      </c>
      <c r="O26" s="745">
        <f t="shared" si="15"/>
        <v>154657</v>
      </c>
      <c r="P26" s="650">
        <f>O27+O28</f>
        <v>154657</v>
      </c>
    </row>
    <row r="27" spans="1:16" ht="17.25" thickTop="1" thickBot="1" x14ac:dyDescent="0.3">
      <c r="A27" s="743"/>
      <c r="B27" s="744" t="s">
        <v>378</v>
      </c>
      <c r="C27" s="745">
        <f>+C19+C22+C23+C24</f>
        <v>55908</v>
      </c>
      <c r="D27" s="745">
        <f t="shared" ref="D27:O27" si="16">+D19+D22+D23+D24</f>
        <v>8802</v>
      </c>
      <c r="E27" s="745">
        <f t="shared" si="16"/>
        <v>12772</v>
      </c>
      <c r="F27" s="745">
        <f t="shared" si="16"/>
        <v>0</v>
      </c>
      <c r="G27" s="745">
        <f t="shared" si="16"/>
        <v>0</v>
      </c>
      <c r="H27" s="745">
        <f t="shared" si="16"/>
        <v>77482</v>
      </c>
      <c r="I27" s="745">
        <f t="shared" si="16"/>
        <v>510</v>
      </c>
      <c r="J27" s="745">
        <f t="shared" si="16"/>
        <v>0</v>
      </c>
      <c r="K27" s="745">
        <f t="shared" si="16"/>
        <v>0</v>
      </c>
      <c r="L27" s="745">
        <f t="shared" si="16"/>
        <v>510</v>
      </c>
      <c r="M27" s="745">
        <f t="shared" si="16"/>
        <v>77992</v>
      </c>
      <c r="N27" s="745">
        <f t="shared" si="16"/>
        <v>0</v>
      </c>
      <c r="O27" s="745">
        <f t="shared" si="16"/>
        <v>77992</v>
      </c>
      <c r="P27" s="650"/>
    </row>
    <row r="28" spans="1:16" ht="17.25" thickTop="1" thickBot="1" x14ac:dyDescent="0.3">
      <c r="A28" s="743"/>
      <c r="B28" s="744" t="s">
        <v>377</v>
      </c>
      <c r="C28" s="745">
        <f>+C20</f>
        <v>50313</v>
      </c>
      <c r="D28" s="745">
        <f t="shared" ref="D28:O28" si="17">+D20</f>
        <v>8673</v>
      </c>
      <c r="E28" s="745">
        <f t="shared" si="17"/>
        <v>17679</v>
      </c>
      <c r="F28" s="745">
        <f t="shared" si="17"/>
        <v>0</v>
      </c>
      <c r="G28" s="745">
        <f t="shared" si="17"/>
        <v>0</v>
      </c>
      <c r="H28" s="745">
        <f t="shared" si="17"/>
        <v>76665</v>
      </c>
      <c r="I28" s="745">
        <f t="shared" si="17"/>
        <v>0</v>
      </c>
      <c r="J28" s="745">
        <f t="shared" si="17"/>
        <v>0</v>
      </c>
      <c r="K28" s="745">
        <f t="shared" si="17"/>
        <v>0</v>
      </c>
      <c r="L28" s="745">
        <f t="shared" si="17"/>
        <v>0</v>
      </c>
      <c r="M28" s="745">
        <f t="shared" si="17"/>
        <v>76665</v>
      </c>
      <c r="N28" s="745">
        <f t="shared" si="17"/>
        <v>0</v>
      </c>
      <c r="O28" s="745">
        <f t="shared" si="17"/>
        <v>76665</v>
      </c>
    </row>
    <row r="29" spans="1:16" ht="17.25" thickTop="1" thickBot="1" x14ac:dyDescent="0.3">
      <c r="A29" s="743"/>
      <c r="B29" s="744" t="s">
        <v>408</v>
      </c>
      <c r="C29" s="745">
        <f t="shared" ref="C29:O29" si="18">SUM(C14+C26)</f>
        <v>872557</v>
      </c>
      <c r="D29" s="745">
        <f t="shared" si="18"/>
        <v>145695</v>
      </c>
      <c r="E29" s="745">
        <f t="shared" si="18"/>
        <v>487420</v>
      </c>
      <c r="F29" s="745">
        <f t="shared" si="18"/>
        <v>0</v>
      </c>
      <c r="G29" s="745">
        <f t="shared" si="18"/>
        <v>0</v>
      </c>
      <c r="H29" s="745">
        <f t="shared" si="18"/>
        <v>1505672</v>
      </c>
      <c r="I29" s="745">
        <f t="shared" si="18"/>
        <v>13883</v>
      </c>
      <c r="J29" s="745">
        <f t="shared" si="18"/>
        <v>0</v>
      </c>
      <c r="K29" s="745">
        <f t="shared" si="18"/>
        <v>0</v>
      </c>
      <c r="L29" s="745">
        <f t="shared" si="18"/>
        <v>13883</v>
      </c>
      <c r="M29" s="745">
        <f t="shared" si="18"/>
        <v>1519555</v>
      </c>
      <c r="N29" s="745">
        <f t="shared" si="18"/>
        <v>0</v>
      </c>
      <c r="O29" s="745">
        <f t="shared" si="18"/>
        <v>1519555</v>
      </c>
    </row>
    <row r="30" spans="1:16" ht="16.5" thickTop="1" x14ac:dyDescent="0.25">
      <c r="A30" s="723" t="s">
        <v>146</v>
      </c>
      <c r="B30" s="751" t="s">
        <v>407</v>
      </c>
      <c r="C30" s="752"/>
      <c r="D30" s="753"/>
      <c r="E30" s="726"/>
      <c r="F30" s="726"/>
      <c r="G30" s="753"/>
      <c r="H30" s="728"/>
      <c r="I30" s="754"/>
      <c r="J30" s="755"/>
      <c r="K30" s="755"/>
      <c r="L30" s="728"/>
      <c r="M30" s="756"/>
      <c r="N30" s="756"/>
      <c r="O30" s="756"/>
    </row>
    <row r="31" spans="1:16" x14ac:dyDescent="0.25">
      <c r="A31" s="723"/>
      <c r="B31" s="679" t="s">
        <v>347</v>
      </c>
      <c r="C31" s="752">
        <f>SUM(C32:C33)</f>
        <v>81997</v>
      </c>
      <c r="D31" s="752">
        <f>SUM(D32:D33)</f>
        <v>13410</v>
      </c>
      <c r="E31" s="752">
        <f>SUM(E32:E33)</f>
        <v>17099</v>
      </c>
      <c r="F31" s="753"/>
      <c r="G31" s="726"/>
      <c r="H31" s="728">
        <f>SUM(C31:G31)</f>
        <v>112506</v>
      </c>
      <c r="I31" s="729"/>
      <c r="J31" s="727"/>
      <c r="K31" s="727"/>
      <c r="L31" s="728">
        <f>SUM(I31:K31)</f>
        <v>0</v>
      </c>
      <c r="M31" s="730">
        <f>SUM(H31+L31)</f>
        <v>112506</v>
      </c>
      <c r="N31" s="730"/>
      <c r="O31" s="756">
        <f>SUM(M31+N31)</f>
        <v>112506</v>
      </c>
    </row>
    <row r="32" spans="1:16" s="740" customFormat="1" x14ac:dyDescent="0.25">
      <c r="A32" s="731"/>
      <c r="B32" s="732" t="s">
        <v>381</v>
      </c>
      <c r="C32" s="733">
        <v>79710</v>
      </c>
      <c r="D32" s="734">
        <v>12923</v>
      </c>
      <c r="E32" s="734">
        <v>17064</v>
      </c>
      <c r="F32" s="735"/>
      <c r="G32" s="734"/>
      <c r="H32" s="728">
        <f>SUM(C32:G32)</f>
        <v>109697</v>
      </c>
      <c r="I32" s="729"/>
      <c r="J32" s="727"/>
      <c r="K32" s="727"/>
      <c r="L32" s="728">
        <f>SUM(I32:K32)</f>
        <v>0</v>
      </c>
      <c r="M32" s="730">
        <f>SUM(H32+L32)</f>
        <v>109697</v>
      </c>
      <c r="N32" s="730"/>
      <c r="O32" s="756">
        <f>SUM(M32+N32)</f>
        <v>109697</v>
      </c>
    </row>
    <row r="33" spans="1:16" s="740" customFormat="1" x14ac:dyDescent="0.25">
      <c r="A33" s="731"/>
      <c r="B33" s="732" t="s">
        <v>380</v>
      </c>
      <c r="C33" s="757">
        <v>2287</v>
      </c>
      <c r="D33" s="758">
        <v>487</v>
      </c>
      <c r="E33" s="734">
        <v>35</v>
      </c>
      <c r="F33" s="758"/>
      <c r="G33" s="734"/>
      <c r="H33" s="736">
        <f>SUM(C33:G33)</f>
        <v>2809</v>
      </c>
      <c r="I33" s="746"/>
      <c r="J33" s="735"/>
      <c r="K33" s="735"/>
      <c r="L33" s="736">
        <f>SUM(I33:K33)</f>
        <v>0</v>
      </c>
      <c r="M33" s="739">
        <f>SUM(H33+L33)</f>
        <v>2809</v>
      </c>
      <c r="N33" s="739"/>
      <c r="O33" s="759">
        <f>SUM(M33+N33)</f>
        <v>2809</v>
      </c>
    </row>
    <row r="34" spans="1:16" x14ac:dyDescent="0.25">
      <c r="A34" s="723"/>
      <c r="B34" s="732" t="s">
        <v>131</v>
      </c>
      <c r="C34" s="752"/>
      <c r="D34" s="753"/>
      <c r="E34" s="726"/>
      <c r="F34" s="753"/>
      <c r="G34" s="726"/>
      <c r="H34" s="736"/>
      <c r="I34" s="729"/>
      <c r="J34" s="727"/>
      <c r="K34" s="727"/>
      <c r="L34" s="736"/>
      <c r="M34" s="739"/>
      <c r="N34" s="730"/>
      <c r="O34" s="759"/>
    </row>
    <row r="35" spans="1:16" ht="31.5" x14ac:dyDescent="0.25">
      <c r="A35" s="723"/>
      <c r="B35" s="679" t="s">
        <v>564</v>
      </c>
      <c r="C35" s="752"/>
      <c r="D35" s="753"/>
      <c r="E35" s="726">
        <v>-110</v>
      </c>
      <c r="F35" s="753"/>
      <c r="G35" s="726"/>
      <c r="H35" s="749">
        <f t="shared" ref="H35" si="19">SUM(C35:G35)</f>
        <v>-110</v>
      </c>
      <c r="I35" s="729">
        <v>110</v>
      </c>
      <c r="J35" s="727"/>
      <c r="K35" s="727"/>
      <c r="L35" s="749">
        <f t="shared" ref="L35" si="20">SUM(I35:K35)</f>
        <v>110</v>
      </c>
      <c r="M35" s="750">
        <f t="shared" ref="M35" si="21">SUM(H35+L35)</f>
        <v>0</v>
      </c>
      <c r="N35" s="730"/>
      <c r="O35" s="760">
        <f t="shared" ref="O35" si="22">SUM(M35+N35)</f>
        <v>0</v>
      </c>
    </row>
    <row r="36" spans="1:16" ht="16.5" thickBot="1" x14ac:dyDescent="0.3">
      <c r="A36" s="747"/>
      <c r="B36" s="748" t="s">
        <v>132</v>
      </c>
      <c r="C36" s="725"/>
      <c r="D36" s="726"/>
      <c r="E36" s="726"/>
      <c r="F36" s="726"/>
      <c r="G36" s="726"/>
      <c r="H36" s="749"/>
      <c r="I36" s="729"/>
      <c r="J36" s="727"/>
      <c r="K36" s="727"/>
      <c r="L36" s="749"/>
      <c r="M36" s="749"/>
      <c r="N36" s="728"/>
      <c r="O36" s="749"/>
    </row>
    <row r="37" spans="1:16" ht="17.25" thickTop="1" thickBot="1" x14ac:dyDescent="0.3">
      <c r="A37" s="743"/>
      <c r="B37" s="744" t="s">
        <v>379</v>
      </c>
      <c r="C37" s="745">
        <f>+C31+C35</f>
        <v>81997</v>
      </c>
      <c r="D37" s="745">
        <f t="shared" ref="D37:O37" si="23">+D31+D35</f>
        <v>13410</v>
      </c>
      <c r="E37" s="745">
        <f t="shared" si="23"/>
        <v>16989</v>
      </c>
      <c r="F37" s="745">
        <f t="shared" si="23"/>
        <v>0</v>
      </c>
      <c r="G37" s="745">
        <f t="shared" si="23"/>
        <v>0</v>
      </c>
      <c r="H37" s="745">
        <f t="shared" si="23"/>
        <v>112396</v>
      </c>
      <c r="I37" s="745">
        <f t="shared" si="23"/>
        <v>110</v>
      </c>
      <c r="J37" s="745">
        <f t="shared" si="23"/>
        <v>0</v>
      </c>
      <c r="K37" s="745">
        <f t="shared" si="23"/>
        <v>0</v>
      </c>
      <c r="L37" s="745">
        <f t="shared" si="23"/>
        <v>110</v>
      </c>
      <c r="M37" s="745">
        <f t="shared" si="23"/>
        <v>112506</v>
      </c>
      <c r="N37" s="745">
        <f t="shared" si="23"/>
        <v>0</v>
      </c>
      <c r="O37" s="745">
        <f t="shared" si="23"/>
        <v>112506</v>
      </c>
      <c r="P37" s="650">
        <f>O38+O39</f>
        <v>112506</v>
      </c>
    </row>
    <row r="38" spans="1:16" ht="17.25" thickTop="1" thickBot="1" x14ac:dyDescent="0.3">
      <c r="A38" s="743"/>
      <c r="B38" s="744" t="s">
        <v>378</v>
      </c>
      <c r="C38" s="745">
        <f>+C32+C35</f>
        <v>79710</v>
      </c>
      <c r="D38" s="745">
        <f t="shared" ref="D38:O38" si="24">+D32+D35</f>
        <v>12923</v>
      </c>
      <c r="E38" s="745">
        <f t="shared" si="24"/>
        <v>16954</v>
      </c>
      <c r="F38" s="745">
        <f t="shared" si="24"/>
        <v>0</v>
      </c>
      <c r="G38" s="745">
        <f t="shared" si="24"/>
        <v>0</v>
      </c>
      <c r="H38" s="745">
        <f t="shared" si="24"/>
        <v>109587</v>
      </c>
      <c r="I38" s="745">
        <f t="shared" si="24"/>
        <v>110</v>
      </c>
      <c r="J38" s="745">
        <f t="shared" si="24"/>
        <v>0</v>
      </c>
      <c r="K38" s="745">
        <f t="shared" si="24"/>
        <v>0</v>
      </c>
      <c r="L38" s="745">
        <f t="shared" si="24"/>
        <v>110</v>
      </c>
      <c r="M38" s="745">
        <f t="shared" si="24"/>
        <v>109697</v>
      </c>
      <c r="N38" s="745">
        <f t="shared" si="24"/>
        <v>0</v>
      </c>
      <c r="O38" s="745">
        <f t="shared" si="24"/>
        <v>109697</v>
      </c>
    </row>
    <row r="39" spans="1:16" ht="17.25" thickTop="1" thickBot="1" x14ac:dyDescent="0.3">
      <c r="A39" s="743"/>
      <c r="B39" s="744" t="s">
        <v>377</v>
      </c>
      <c r="C39" s="745">
        <f>+C33</f>
        <v>2287</v>
      </c>
      <c r="D39" s="745">
        <f t="shared" ref="D39:O39" si="25">+D33</f>
        <v>487</v>
      </c>
      <c r="E39" s="745">
        <f t="shared" si="25"/>
        <v>35</v>
      </c>
      <c r="F39" s="745">
        <f t="shared" si="25"/>
        <v>0</v>
      </c>
      <c r="G39" s="745">
        <f t="shared" si="25"/>
        <v>0</v>
      </c>
      <c r="H39" s="745">
        <f t="shared" si="25"/>
        <v>2809</v>
      </c>
      <c r="I39" s="745">
        <f t="shared" si="25"/>
        <v>0</v>
      </c>
      <c r="J39" s="745">
        <f t="shared" si="25"/>
        <v>0</v>
      </c>
      <c r="K39" s="745">
        <f t="shared" si="25"/>
        <v>0</v>
      </c>
      <c r="L39" s="745">
        <f t="shared" si="25"/>
        <v>0</v>
      </c>
      <c r="M39" s="745">
        <f t="shared" si="25"/>
        <v>2809</v>
      </c>
      <c r="N39" s="745">
        <f t="shared" si="25"/>
        <v>0</v>
      </c>
      <c r="O39" s="745">
        <f t="shared" si="25"/>
        <v>2809</v>
      </c>
    </row>
    <row r="40" spans="1:16" ht="16.5" thickTop="1" x14ac:dyDescent="0.25">
      <c r="A40" s="723" t="s">
        <v>147</v>
      </c>
      <c r="B40" s="724" t="s">
        <v>788</v>
      </c>
      <c r="C40" s="725"/>
      <c r="D40" s="726"/>
      <c r="E40" s="726"/>
      <c r="F40" s="742"/>
      <c r="G40" s="726"/>
      <c r="H40" s="728"/>
      <c r="I40" s="729"/>
      <c r="J40" s="727"/>
      <c r="K40" s="727"/>
      <c r="L40" s="728"/>
      <c r="M40" s="728"/>
      <c r="N40" s="728"/>
      <c r="O40" s="728"/>
    </row>
    <row r="41" spans="1:16" x14ac:dyDescent="0.25">
      <c r="A41" s="723"/>
      <c r="B41" s="679" t="s">
        <v>347</v>
      </c>
      <c r="C41" s="725">
        <f>SUM(C42:C43)</f>
        <v>94349</v>
      </c>
      <c r="D41" s="725">
        <f>SUM(D42:D43)</f>
        <v>15522</v>
      </c>
      <c r="E41" s="725">
        <f>SUM(E42:E43)</f>
        <v>12760</v>
      </c>
      <c r="F41" s="727"/>
      <c r="G41" s="726"/>
      <c r="H41" s="728">
        <f>SUM(C41:G41)</f>
        <v>122631</v>
      </c>
      <c r="I41" s="741">
        <v>567</v>
      </c>
      <c r="J41" s="742"/>
      <c r="K41" s="742"/>
      <c r="L41" s="728">
        <f>SUM(I41:K41)</f>
        <v>567</v>
      </c>
      <c r="M41" s="730">
        <f>SUM(H41+L41)</f>
        <v>123198</v>
      </c>
      <c r="N41" s="730"/>
      <c r="O41" s="730">
        <f>SUM(M41+N41)</f>
        <v>123198</v>
      </c>
    </row>
    <row r="42" spans="1:16" s="740" customFormat="1" x14ac:dyDescent="0.25">
      <c r="A42" s="731"/>
      <c r="B42" s="732" t="s">
        <v>381</v>
      </c>
      <c r="C42" s="733">
        <v>92061</v>
      </c>
      <c r="D42" s="734">
        <v>15027</v>
      </c>
      <c r="E42" s="734">
        <v>12740</v>
      </c>
      <c r="F42" s="735"/>
      <c r="G42" s="734"/>
      <c r="H42" s="736">
        <f>SUM(C42:G42)</f>
        <v>119828</v>
      </c>
      <c r="I42" s="737">
        <v>567</v>
      </c>
      <c r="J42" s="738"/>
      <c r="K42" s="738"/>
      <c r="L42" s="736">
        <f>SUM(I42:K42)</f>
        <v>567</v>
      </c>
      <c r="M42" s="739">
        <f>SUM(H42+L42)</f>
        <v>120395</v>
      </c>
      <c r="N42" s="739"/>
      <c r="O42" s="739">
        <f>SUM(M42+N42)</f>
        <v>120395</v>
      </c>
    </row>
    <row r="43" spans="1:16" s="740" customFormat="1" x14ac:dyDescent="0.25">
      <c r="A43" s="731"/>
      <c r="B43" s="732" t="s">
        <v>380</v>
      </c>
      <c r="C43" s="733">
        <v>2288</v>
      </c>
      <c r="D43" s="734">
        <v>495</v>
      </c>
      <c r="E43" s="734">
        <v>20</v>
      </c>
      <c r="F43" s="735"/>
      <c r="G43" s="734"/>
      <c r="H43" s="736">
        <f>SUM(C43:G43)</f>
        <v>2803</v>
      </c>
      <c r="I43" s="737"/>
      <c r="J43" s="738"/>
      <c r="K43" s="738"/>
      <c r="L43" s="736">
        <f>SUM(I43:K43)</f>
        <v>0</v>
      </c>
      <c r="M43" s="739">
        <f>SUM(H43+L43)</f>
        <v>2803</v>
      </c>
      <c r="N43" s="739"/>
      <c r="O43" s="739">
        <f>SUM(M43+N43)</f>
        <v>2803</v>
      </c>
    </row>
    <row r="44" spans="1:16" x14ac:dyDescent="0.25">
      <c r="A44" s="761"/>
      <c r="B44" s="732" t="s">
        <v>131</v>
      </c>
      <c r="C44" s="762"/>
      <c r="D44" s="763"/>
      <c r="E44" s="763"/>
      <c r="F44" s="764"/>
      <c r="G44" s="763"/>
      <c r="H44" s="736"/>
      <c r="I44" s="765"/>
      <c r="J44" s="766"/>
      <c r="K44" s="766"/>
      <c r="L44" s="736"/>
      <c r="M44" s="739"/>
      <c r="N44" s="750"/>
      <c r="O44" s="739"/>
    </row>
    <row r="45" spans="1:16" ht="47.25" x14ac:dyDescent="0.25">
      <c r="A45" s="802"/>
      <c r="B45" s="724" t="s">
        <v>1215</v>
      </c>
      <c r="C45" s="762">
        <v>160</v>
      </c>
      <c r="D45" s="763">
        <v>25</v>
      </c>
      <c r="E45" s="763"/>
      <c r="F45" s="764"/>
      <c r="G45" s="763"/>
      <c r="H45" s="749">
        <f t="shared" ref="H45:H47" si="26">SUM(C45:G45)</f>
        <v>185</v>
      </c>
      <c r="I45" s="767"/>
      <c r="J45" s="764"/>
      <c r="K45" s="764"/>
      <c r="L45" s="749">
        <f t="shared" ref="L45:L47" si="27">SUM(I45:K45)</f>
        <v>0</v>
      </c>
      <c r="M45" s="749">
        <f t="shared" ref="M45:M47" si="28">SUM(H45+L45)</f>
        <v>185</v>
      </c>
      <c r="N45" s="749"/>
      <c r="O45" s="749">
        <f t="shared" ref="O45:O47" si="29">SUM(M45+N45)</f>
        <v>185</v>
      </c>
    </row>
    <row r="46" spans="1:16" ht="31.5" x14ac:dyDescent="0.25">
      <c r="A46" s="802"/>
      <c r="B46" s="724" t="s">
        <v>564</v>
      </c>
      <c r="C46" s="762">
        <v>-207</v>
      </c>
      <c r="D46" s="763">
        <v>207</v>
      </c>
      <c r="E46" s="763">
        <f>-20-11</f>
        <v>-31</v>
      </c>
      <c r="F46" s="764"/>
      <c r="G46" s="763"/>
      <c r="H46" s="749">
        <f t="shared" si="26"/>
        <v>-31</v>
      </c>
      <c r="I46" s="767">
        <f>20+11</f>
        <v>31</v>
      </c>
      <c r="J46" s="764"/>
      <c r="K46" s="764"/>
      <c r="L46" s="749">
        <f t="shared" si="27"/>
        <v>31</v>
      </c>
      <c r="M46" s="749">
        <f t="shared" si="28"/>
        <v>0</v>
      </c>
      <c r="N46" s="749"/>
      <c r="O46" s="749">
        <f t="shared" si="29"/>
        <v>0</v>
      </c>
    </row>
    <row r="47" spans="1:16" ht="31.5" x14ac:dyDescent="0.25">
      <c r="A47" s="761"/>
      <c r="B47" s="679" t="s">
        <v>915</v>
      </c>
      <c r="C47" s="762"/>
      <c r="D47" s="763"/>
      <c r="E47" s="763">
        <v>941</v>
      </c>
      <c r="F47" s="764"/>
      <c r="G47" s="763"/>
      <c r="H47" s="749">
        <f t="shared" si="26"/>
        <v>941</v>
      </c>
      <c r="I47" s="765"/>
      <c r="J47" s="766"/>
      <c r="K47" s="766"/>
      <c r="L47" s="749">
        <f t="shared" si="27"/>
        <v>0</v>
      </c>
      <c r="M47" s="750">
        <f t="shared" si="28"/>
        <v>941</v>
      </c>
      <c r="N47" s="750"/>
      <c r="O47" s="750">
        <f t="shared" si="29"/>
        <v>941</v>
      </c>
    </row>
    <row r="48" spans="1:16" ht="16.5" thickBot="1" x14ac:dyDescent="0.3">
      <c r="A48" s="761"/>
      <c r="B48" s="732" t="s">
        <v>132</v>
      </c>
      <c r="C48" s="762"/>
      <c r="D48" s="763"/>
      <c r="E48" s="763"/>
      <c r="F48" s="764"/>
      <c r="G48" s="763"/>
      <c r="H48" s="736"/>
      <c r="I48" s="765"/>
      <c r="J48" s="766"/>
      <c r="K48" s="766"/>
      <c r="L48" s="736"/>
      <c r="M48" s="739"/>
      <c r="N48" s="750"/>
      <c r="O48" s="739"/>
    </row>
    <row r="49" spans="1:16" ht="17.25" thickTop="1" thickBot="1" x14ac:dyDescent="0.3">
      <c r="A49" s="743"/>
      <c r="B49" s="744" t="s">
        <v>379</v>
      </c>
      <c r="C49" s="745">
        <f>+C41+C45+C46+C47</f>
        <v>94302</v>
      </c>
      <c r="D49" s="745">
        <f t="shared" ref="D49:O49" si="30">+D41+D45+D46+D47</f>
        <v>15754</v>
      </c>
      <c r="E49" s="745">
        <f t="shared" si="30"/>
        <v>13670</v>
      </c>
      <c r="F49" s="745">
        <f t="shared" si="30"/>
        <v>0</v>
      </c>
      <c r="G49" s="745">
        <f t="shared" si="30"/>
        <v>0</v>
      </c>
      <c r="H49" s="745">
        <f t="shared" si="30"/>
        <v>123726</v>
      </c>
      <c r="I49" s="745">
        <f t="shared" si="30"/>
        <v>598</v>
      </c>
      <c r="J49" s="745">
        <f t="shared" si="30"/>
        <v>0</v>
      </c>
      <c r="K49" s="745">
        <f t="shared" si="30"/>
        <v>0</v>
      </c>
      <c r="L49" s="745">
        <f t="shared" si="30"/>
        <v>598</v>
      </c>
      <c r="M49" s="745">
        <f t="shared" si="30"/>
        <v>124324</v>
      </c>
      <c r="N49" s="745">
        <f t="shared" si="30"/>
        <v>0</v>
      </c>
      <c r="O49" s="745">
        <f t="shared" si="30"/>
        <v>124324</v>
      </c>
      <c r="P49" s="650">
        <f>O50+O51</f>
        <v>124324</v>
      </c>
    </row>
    <row r="50" spans="1:16" ht="17.25" thickTop="1" thickBot="1" x14ac:dyDescent="0.3">
      <c r="A50" s="743"/>
      <c r="B50" s="744" t="s">
        <v>378</v>
      </c>
      <c r="C50" s="745">
        <f>+C42+C45+C46+C47</f>
        <v>92014</v>
      </c>
      <c r="D50" s="745">
        <f t="shared" ref="D50:O50" si="31">+D42+D45+D46+D47</f>
        <v>15259</v>
      </c>
      <c r="E50" s="745">
        <f t="shared" si="31"/>
        <v>13650</v>
      </c>
      <c r="F50" s="745">
        <f t="shared" si="31"/>
        <v>0</v>
      </c>
      <c r="G50" s="745">
        <f t="shared" si="31"/>
        <v>0</v>
      </c>
      <c r="H50" s="745">
        <f t="shared" si="31"/>
        <v>120923</v>
      </c>
      <c r="I50" s="745">
        <f t="shared" si="31"/>
        <v>598</v>
      </c>
      <c r="J50" s="745">
        <f t="shared" si="31"/>
        <v>0</v>
      </c>
      <c r="K50" s="745">
        <f t="shared" si="31"/>
        <v>0</v>
      </c>
      <c r="L50" s="745">
        <f t="shared" si="31"/>
        <v>598</v>
      </c>
      <c r="M50" s="745">
        <f t="shared" si="31"/>
        <v>121521</v>
      </c>
      <c r="N50" s="745">
        <f t="shared" si="31"/>
        <v>0</v>
      </c>
      <c r="O50" s="745">
        <f t="shared" si="31"/>
        <v>121521</v>
      </c>
    </row>
    <row r="51" spans="1:16" ht="17.25" thickTop="1" thickBot="1" x14ac:dyDescent="0.3">
      <c r="A51" s="743"/>
      <c r="B51" s="744" t="s">
        <v>377</v>
      </c>
      <c r="C51" s="745">
        <f>+C43</f>
        <v>2288</v>
      </c>
      <c r="D51" s="745">
        <f t="shared" ref="D51:O51" si="32">+D43</f>
        <v>495</v>
      </c>
      <c r="E51" s="745">
        <f t="shared" si="32"/>
        <v>20</v>
      </c>
      <c r="F51" s="745">
        <f t="shared" si="32"/>
        <v>0</v>
      </c>
      <c r="G51" s="745">
        <f t="shared" si="32"/>
        <v>0</v>
      </c>
      <c r="H51" s="745">
        <f t="shared" si="32"/>
        <v>2803</v>
      </c>
      <c r="I51" s="745">
        <f t="shared" si="32"/>
        <v>0</v>
      </c>
      <c r="J51" s="745">
        <f t="shared" si="32"/>
        <v>0</v>
      </c>
      <c r="K51" s="745">
        <f t="shared" si="32"/>
        <v>0</v>
      </c>
      <c r="L51" s="745">
        <f t="shared" si="32"/>
        <v>0</v>
      </c>
      <c r="M51" s="745">
        <f t="shared" si="32"/>
        <v>2803</v>
      </c>
      <c r="N51" s="745">
        <f t="shared" si="32"/>
        <v>0</v>
      </c>
      <c r="O51" s="745">
        <f t="shared" si="32"/>
        <v>2803</v>
      </c>
    </row>
    <row r="52" spans="1:16" ht="16.5" thickTop="1" x14ac:dyDescent="0.25">
      <c r="A52" s="723" t="s">
        <v>148</v>
      </c>
      <c r="B52" s="724" t="s">
        <v>406</v>
      </c>
      <c r="C52" s="725"/>
      <c r="D52" s="726"/>
      <c r="E52" s="726"/>
      <c r="F52" s="742"/>
      <c r="G52" s="726"/>
      <c r="H52" s="728"/>
      <c r="I52" s="729"/>
      <c r="J52" s="727"/>
      <c r="K52" s="727"/>
      <c r="L52" s="728"/>
      <c r="M52" s="728"/>
      <c r="N52" s="728"/>
      <c r="O52" s="728"/>
    </row>
    <row r="53" spans="1:16" x14ac:dyDescent="0.25">
      <c r="A53" s="723"/>
      <c r="B53" s="679" t="s">
        <v>347</v>
      </c>
      <c r="C53" s="725">
        <f>SUM(C54:C55)</f>
        <v>86793</v>
      </c>
      <c r="D53" s="725">
        <f>SUM(D54:D55)</f>
        <v>14184</v>
      </c>
      <c r="E53" s="725">
        <f>SUM(E54:E55)</f>
        <v>11170</v>
      </c>
      <c r="F53" s="727"/>
      <c r="G53" s="726"/>
      <c r="H53" s="728">
        <f>SUM(C53:G53)</f>
        <v>112147</v>
      </c>
      <c r="I53" s="729"/>
      <c r="J53" s="727"/>
      <c r="K53" s="727"/>
      <c r="L53" s="728">
        <f>SUM(I53:K53)</f>
        <v>0</v>
      </c>
      <c r="M53" s="730">
        <f>SUM(H53+L53)</f>
        <v>112147</v>
      </c>
      <c r="N53" s="730"/>
      <c r="O53" s="730">
        <f>SUM(M53+N53)</f>
        <v>112147</v>
      </c>
    </row>
    <row r="54" spans="1:16" s="740" customFormat="1" x14ac:dyDescent="0.25">
      <c r="A54" s="731"/>
      <c r="B54" s="732" t="s">
        <v>381</v>
      </c>
      <c r="C54" s="733">
        <v>84532</v>
      </c>
      <c r="D54" s="734">
        <v>13688</v>
      </c>
      <c r="E54" s="734">
        <v>11100</v>
      </c>
      <c r="F54" s="735"/>
      <c r="G54" s="734"/>
      <c r="H54" s="736">
        <f>SUM(C54:G54)</f>
        <v>109320</v>
      </c>
      <c r="I54" s="746"/>
      <c r="J54" s="735"/>
      <c r="K54" s="735"/>
      <c r="L54" s="736">
        <f>SUM(I54:K54)</f>
        <v>0</v>
      </c>
      <c r="M54" s="739">
        <f>SUM(H54+L54)</f>
        <v>109320</v>
      </c>
      <c r="N54" s="739"/>
      <c r="O54" s="739">
        <f>SUM(M54+N54)</f>
        <v>109320</v>
      </c>
    </row>
    <row r="55" spans="1:16" s="740" customFormat="1" x14ac:dyDescent="0.25">
      <c r="A55" s="731"/>
      <c r="B55" s="732" t="s">
        <v>380</v>
      </c>
      <c r="C55" s="733">
        <v>2261</v>
      </c>
      <c r="D55" s="734">
        <v>496</v>
      </c>
      <c r="E55" s="734">
        <v>70</v>
      </c>
      <c r="F55" s="735"/>
      <c r="G55" s="734"/>
      <c r="H55" s="736">
        <f>SUM(C55:G55)</f>
        <v>2827</v>
      </c>
      <c r="I55" s="746"/>
      <c r="J55" s="735"/>
      <c r="K55" s="735"/>
      <c r="L55" s="736">
        <f>SUM(I55:K55)</f>
        <v>0</v>
      </c>
      <c r="M55" s="739">
        <f>SUM(H55+L55)</f>
        <v>2827</v>
      </c>
      <c r="N55" s="739"/>
      <c r="O55" s="739">
        <f>SUM(M55+N55)</f>
        <v>2827</v>
      </c>
    </row>
    <row r="56" spans="1:16" s="740" customFormat="1" x14ac:dyDescent="0.25">
      <c r="A56" s="731"/>
      <c r="B56" s="732" t="s">
        <v>131</v>
      </c>
      <c r="C56" s="733"/>
      <c r="D56" s="734"/>
      <c r="E56" s="734"/>
      <c r="F56" s="735"/>
      <c r="G56" s="734"/>
      <c r="H56" s="736"/>
      <c r="I56" s="746"/>
      <c r="J56" s="735"/>
      <c r="K56" s="735"/>
      <c r="L56" s="736"/>
      <c r="M56" s="739"/>
      <c r="N56" s="739"/>
      <c r="O56" s="739"/>
    </row>
    <row r="57" spans="1:16" s="740" customFormat="1" ht="31.5" x14ac:dyDescent="0.25">
      <c r="A57" s="731"/>
      <c r="B57" s="679" t="s">
        <v>564</v>
      </c>
      <c r="C57" s="762">
        <v>-685</v>
      </c>
      <c r="D57" s="763">
        <v>685</v>
      </c>
      <c r="E57" s="763">
        <v>-35</v>
      </c>
      <c r="F57" s="764"/>
      <c r="G57" s="763"/>
      <c r="H57" s="749">
        <f t="shared" ref="H57" si="33">SUM(C57:G57)</f>
        <v>-35</v>
      </c>
      <c r="I57" s="767">
        <v>35</v>
      </c>
      <c r="J57" s="764"/>
      <c r="K57" s="764"/>
      <c r="L57" s="749">
        <f t="shared" ref="L57" si="34">SUM(I57:K57)</f>
        <v>35</v>
      </c>
      <c r="M57" s="750">
        <f t="shared" ref="M57" si="35">SUM(H57+L57)</f>
        <v>0</v>
      </c>
      <c r="N57" s="750"/>
      <c r="O57" s="750">
        <f t="shared" ref="O57" si="36">SUM(M57+N57)</f>
        <v>0</v>
      </c>
    </row>
    <row r="58" spans="1:16" s="740" customFormat="1" x14ac:dyDescent="0.25">
      <c r="A58" s="731"/>
      <c r="B58" s="732" t="s">
        <v>132</v>
      </c>
      <c r="C58" s="733"/>
      <c r="D58" s="734"/>
      <c r="E58" s="734"/>
      <c r="F58" s="735"/>
      <c r="G58" s="734"/>
      <c r="H58" s="736"/>
      <c r="I58" s="746"/>
      <c r="J58" s="735"/>
      <c r="K58" s="735"/>
      <c r="L58" s="736"/>
      <c r="M58" s="739"/>
      <c r="N58" s="739"/>
      <c r="O58" s="739"/>
    </row>
    <row r="59" spans="1:16" s="740" customFormat="1" ht="95.25" thickBot="1" x14ac:dyDescent="0.3">
      <c r="A59" s="731"/>
      <c r="B59" s="679" t="s">
        <v>1216</v>
      </c>
      <c r="C59" s="762"/>
      <c r="D59" s="763"/>
      <c r="E59" s="763">
        <v>85</v>
      </c>
      <c r="F59" s="764"/>
      <c r="G59" s="763"/>
      <c r="H59" s="749">
        <f>SUM(C59:G59)</f>
        <v>85</v>
      </c>
      <c r="I59" s="767"/>
      <c r="J59" s="764"/>
      <c r="K59" s="764"/>
      <c r="L59" s="749">
        <f>SUM(I59:K59)</f>
        <v>0</v>
      </c>
      <c r="M59" s="750">
        <f>SUM(H59+L59)</f>
        <v>85</v>
      </c>
      <c r="N59" s="750"/>
      <c r="O59" s="750">
        <f>SUM(M59+N59)</f>
        <v>85</v>
      </c>
    </row>
    <row r="60" spans="1:16" ht="17.25" thickTop="1" thickBot="1" x14ac:dyDescent="0.3">
      <c r="A60" s="743"/>
      <c r="B60" s="744" t="s">
        <v>379</v>
      </c>
      <c r="C60" s="745">
        <f>+C53+C57+C59</f>
        <v>86108</v>
      </c>
      <c r="D60" s="745">
        <f t="shared" ref="D60:O60" si="37">+D53+D57+D59</f>
        <v>14869</v>
      </c>
      <c r="E60" s="745">
        <f t="shared" si="37"/>
        <v>11220</v>
      </c>
      <c r="F60" s="745">
        <f t="shared" si="37"/>
        <v>0</v>
      </c>
      <c r="G60" s="745">
        <f t="shared" si="37"/>
        <v>0</v>
      </c>
      <c r="H60" s="745">
        <f t="shared" si="37"/>
        <v>112197</v>
      </c>
      <c r="I60" s="745">
        <f t="shared" si="37"/>
        <v>35</v>
      </c>
      <c r="J60" s="745">
        <f t="shared" si="37"/>
        <v>0</v>
      </c>
      <c r="K60" s="745">
        <f t="shared" si="37"/>
        <v>0</v>
      </c>
      <c r="L60" s="745">
        <f t="shared" si="37"/>
        <v>35</v>
      </c>
      <c r="M60" s="745">
        <f t="shared" si="37"/>
        <v>112232</v>
      </c>
      <c r="N60" s="745">
        <f t="shared" si="37"/>
        <v>0</v>
      </c>
      <c r="O60" s="745">
        <f t="shared" si="37"/>
        <v>112232</v>
      </c>
      <c r="P60" s="650">
        <f>O61+O62</f>
        <v>112232</v>
      </c>
    </row>
    <row r="61" spans="1:16" ht="17.25" thickTop="1" thickBot="1" x14ac:dyDescent="0.3">
      <c r="A61" s="743"/>
      <c r="B61" s="744" t="s">
        <v>378</v>
      </c>
      <c r="C61" s="745">
        <f>+C54+C57</f>
        <v>83847</v>
      </c>
      <c r="D61" s="745">
        <f t="shared" ref="D61:O61" si="38">+D54+D57</f>
        <v>14373</v>
      </c>
      <c r="E61" s="745">
        <f t="shared" si="38"/>
        <v>11065</v>
      </c>
      <c r="F61" s="745">
        <f t="shared" si="38"/>
        <v>0</v>
      </c>
      <c r="G61" s="745">
        <f t="shared" si="38"/>
        <v>0</v>
      </c>
      <c r="H61" s="745">
        <f t="shared" si="38"/>
        <v>109285</v>
      </c>
      <c r="I61" s="745">
        <f t="shared" si="38"/>
        <v>35</v>
      </c>
      <c r="J61" s="745">
        <f t="shared" si="38"/>
        <v>0</v>
      </c>
      <c r="K61" s="745">
        <f t="shared" si="38"/>
        <v>0</v>
      </c>
      <c r="L61" s="745">
        <f t="shared" si="38"/>
        <v>35</v>
      </c>
      <c r="M61" s="745">
        <f t="shared" si="38"/>
        <v>109320</v>
      </c>
      <c r="N61" s="745">
        <f t="shared" si="38"/>
        <v>0</v>
      </c>
      <c r="O61" s="745">
        <f t="shared" si="38"/>
        <v>109320</v>
      </c>
    </row>
    <row r="62" spans="1:16" ht="17.25" thickTop="1" thickBot="1" x14ac:dyDescent="0.3">
      <c r="A62" s="743"/>
      <c r="B62" s="744" t="s">
        <v>377</v>
      </c>
      <c r="C62" s="745">
        <f>+C55+C59</f>
        <v>2261</v>
      </c>
      <c r="D62" s="745">
        <f t="shared" ref="D62:O62" si="39">+D55+D59</f>
        <v>496</v>
      </c>
      <c r="E62" s="745">
        <f t="shared" si="39"/>
        <v>155</v>
      </c>
      <c r="F62" s="745">
        <f t="shared" si="39"/>
        <v>0</v>
      </c>
      <c r="G62" s="745">
        <f t="shared" si="39"/>
        <v>0</v>
      </c>
      <c r="H62" s="745">
        <f t="shared" si="39"/>
        <v>2912</v>
      </c>
      <c r="I62" s="745">
        <f t="shared" si="39"/>
        <v>0</v>
      </c>
      <c r="J62" s="745">
        <f t="shared" si="39"/>
        <v>0</v>
      </c>
      <c r="K62" s="745">
        <f t="shared" si="39"/>
        <v>0</v>
      </c>
      <c r="L62" s="745">
        <f t="shared" si="39"/>
        <v>0</v>
      </c>
      <c r="M62" s="745">
        <f t="shared" si="39"/>
        <v>2912</v>
      </c>
      <c r="N62" s="745">
        <f t="shared" si="39"/>
        <v>0</v>
      </c>
      <c r="O62" s="745">
        <f t="shared" si="39"/>
        <v>2912</v>
      </c>
    </row>
    <row r="63" spans="1:16" ht="16.5" thickTop="1" x14ac:dyDescent="0.25">
      <c r="A63" s="768" t="s">
        <v>149</v>
      </c>
      <c r="B63" s="769" t="s">
        <v>405</v>
      </c>
      <c r="C63" s="770"/>
      <c r="D63" s="771"/>
      <c r="E63" s="771"/>
      <c r="F63" s="772"/>
      <c r="G63" s="771"/>
      <c r="H63" s="773"/>
      <c r="I63" s="774"/>
      <c r="J63" s="772"/>
      <c r="K63" s="772"/>
      <c r="L63" s="773"/>
      <c r="M63" s="773"/>
      <c r="N63" s="773"/>
      <c r="O63" s="773"/>
    </row>
    <row r="64" spans="1:16" x14ac:dyDescent="0.25">
      <c r="A64" s="723"/>
      <c r="B64" s="679" t="s">
        <v>347</v>
      </c>
      <c r="C64" s="725">
        <f>SUM(C65:C66)</f>
        <v>50681</v>
      </c>
      <c r="D64" s="725">
        <f>SUM(D65:D66)</f>
        <v>8365</v>
      </c>
      <c r="E64" s="725">
        <f>SUM(E65:E66)</f>
        <v>6322</v>
      </c>
      <c r="F64" s="727"/>
      <c r="G64" s="726"/>
      <c r="H64" s="728">
        <f>SUM(C64:G64)</f>
        <v>65368</v>
      </c>
      <c r="I64" s="729"/>
      <c r="J64" s="727"/>
      <c r="K64" s="727"/>
      <c r="L64" s="728">
        <f>SUM(I64:K64)</f>
        <v>0</v>
      </c>
      <c r="M64" s="730">
        <f>SUM(H64+L64)</f>
        <v>65368</v>
      </c>
      <c r="N64" s="730"/>
      <c r="O64" s="730">
        <f>SUM(M64+N64)</f>
        <v>65368</v>
      </c>
    </row>
    <row r="65" spans="1:16" s="740" customFormat="1" x14ac:dyDescent="0.25">
      <c r="A65" s="731"/>
      <c r="B65" s="732" t="s">
        <v>381</v>
      </c>
      <c r="C65" s="733">
        <v>49446</v>
      </c>
      <c r="D65" s="734">
        <v>8096</v>
      </c>
      <c r="E65" s="734">
        <v>6202</v>
      </c>
      <c r="F65" s="735"/>
      <c r="G65" s="734"/>
      <c r="H65" s="736">
        <f>SUM(C65:G65)</f>
        <v>63744</v>
      </c>
      <c r="I65" s="746"/>
      <c r="J65" s="735"/>
      <c r="K65" s="735"/>
      <c r="L65" s="736">
        <f>SUM(I65:K65)</f>
        <v>0</v>
      </c>
      <c r="M65" s="739">
        <f>SUM(H65+L65)</f>
        <v>63744</v>
      </c>
      <c r="N65" s="739"/>
      <c r="O65" s="739">
        <f>SUM(M65+N65)</f>
        <v>63744</v>
      </c>
    </row>
    <row r="66" spans="1:16" s="740" customFormat="1" x14ac:dyDescent="0.25">
      <c r="A66" s="731"/>
      <c r="B66" s="732" t="s">
        <v>380</v>
      </c>
      <c r="C66" s="733">
        <v>1235</v>
      </c>
      <c r="D66" s="734">
        <v>269</v>
      </c>
      <c r="E66" s="734">
        <v>120</v>
      </c>
      <c r="F66" s="735"/>
      <c r="G66" s="734"/>
      <c r="H66" s="736">
        <f>SUM(C66:G66)</f>
        <v>1624</v>
      </c>
      <c r="I66" s="746"/>
      <c r="J66" s="735"/>
      <c r="K66" s="735"/>
      <c r="L66" s="736">
        <f>SUM(I66:K66)</f>
        <v>0</v>
      </c>
      <c r="M66" s="739">
        <f>SUM(H66+L66)</f>
        <v>1624</v>
      </c>
      <c r="N66" s="739"/>
      <c r="O66" s="739">
        <f>SUM(M66+N66)</f>
        <v>1624</v>
      </c>
    </row>
    <row r="67" spans="1:16" s="740" customFormat="1" x14ac:dyDescent="0.25">
      <c r="A67" s="731"/>
      <c r="B67" s="732" t="s">
        <v>131</v>
      </c>
      <c r="C67" s="733"/>
      <c r="D67" s="734"/>
      <c r="E67" s="734"/>
      <c r="F67" s="735"/>
      <c r="G67" s="734"/>
      <c r="H67" s="736"/>
      <c r="I67" s="746"/>
      <c r="J67" s="735"/>
      <c r="K67" s="735"/>
      <c r="L67" s="736"/>
      <c r="M67" s="739"/>
      <c r="N67" s="739"/>
      <c r="O67" s="739"/>
    </row>
    <row r="68" spans="1:16" s="740" customFormat="1" ht="31.5" x14ac:dyDescent="0.25">
      <c r="A68" s="731"/>
      <c r="B68" s="679" t="s">
        <v>1214</v>
      </c>
      <c r="C68" s="762">
        <v>-12</v>
      </c>
      <c r="D68" s="763">
        <v>-2</v>
      </c>
      <c r="E68" s="763"/>
      <c r="F68" s="764"/>
      <c r="G68" s="763"/>
      <c r="H68" s="749">
        <f t="shared" ref="H68:H71" si="40">SUM(C68:G68)</f>
        <v>-14</v>
      </c>
      <c r="I68" s="767"/>
      <c r="J68" s="764"/>
      <c r="K68" s="764"/>
      <c r="L68" s="749">
        <f t="shared" ref="L68:L71" si="41">SUM(I68:K68)</f>
        <v>0</v>
      </c>
      <c r="M68" s="750">
        <f t="shared" ref="M68:M71" si="42">SUM(H68+L68)</f>
        <v>-14</v>
      </c>
      <c r="N68" s="750"/>
      <c r="O68" s="750">
        <f t="shared" ref="O68:O71" si="43">SUM(M68+N68)</f>
        <v>-14</v>
      </c>
    </row>
    <row r="69" spans="1:16" s="740" customFormat="1" x14ac:dyDescent="0.25">
      <c r="A69" s="731"/>
      <c r="B69" s="679" t="s">
        <v>1217</v>
      </c>
      <c r="C69" s="762">
        <v>106</v>
      </c>
      <c r="D69" s="763">
        <v>16</v>
      </c>
      <c r="E69" s="763"/>
      <c r="F69" s="764"/>
      <c r="G69" s="763"/>
      <c r="H69" s="749">
        <f t="shared" si="40"/>
        <v>122</v>
      </c>
      <c r="I69" s="767"/>
      <c r="J69" s="764"/>
      <c r="K69" s="764"/>
      <c r="L69" s="749">
        <f t="shared" si="41"/>
        <v>0</v>
      </c>
      <c r="M69" s="750">
        <f t="shared" si="42"/>
        <v>122</v>
      </c>
      <c r="N69" s="750"/>
      <c r="O69" s="750">
        <f t="shared" si="43"/>
        <v>122</v>
      </c>
    </row>
    <row r="70" spans="1:16" s="740" customFormat="1" ht="31.5" x14ac:dyDescent="0.25">
      <c r="A70" s="731"/>
      <c r="B70" s="679" t="s">
        <v>915</v>
      </c>
      <c r="C70" s="762"/>
      <c r="D70" s="763"/>
      <c r="E70" s="763">
        <f>28+407</f>
        <v>435</v>
      </c>
      <c r="F70" s="764"/>
      <c r="G70" s="763"/>
      <c r="H70" s="749">
        <f t="shared" si="40"/>
        <v>435</v>
      </c>
      <c r="I70" s="767"/>
      <c r="J70" s="764"/>
      <c r="K70" s="764"/>
      <c r="L70" s="749">
        <f t="shared" si="41"/>
        <v>0</v>
      </c>
      <c r="M70" s="750">
        <f t="shared" si="42"/>
        <v>435</v>
      </c>
      <c r="N70" s="750"/>
      <c r="O70" s="750">
        <f t="shared" si="43"/>
        <v>435</v>
      </c>
    </row>
    <row r="71" spans="1:16" s="740" customFormat="1" ht="31.5" x14ac:dyDescent="0.25">
      <c r="A71" s="731"/>
      <c r="B71" s="679" t="s">
        <v>564</v>
      </c>
      <c r="C71" s="762"/>
      <c r="D71" s="763">
        <v>96</v>
      </c>
      <c r="E71" s="763">
        <v>-96</v>
      </c>
      <c r="F71" s="764"/>
      <c r="G71" s="763"/>
      <c r="H71" s="749">
        <f t="shared" si="40"/>
        <v>0</v>
      </c>
      <c r="I71" s="767"/>
      <c r="J71" s="764"/>
      <c r="K71" s="764"/>
      <c r="L71" s="749">
        <f t="shared" si="41"/>
        <v>0</v>
      </c>
      <c r="M71" s="750">
        <f t="shared" si="42"/>
        <v>0</v>
      </c>
      <c r="N71" s="750"/>
      <c r="O71" s="750">
        <f t="shared" si="43"/>
        <v>0</v>
      </c>
    </row>
    <row r="72" spans="1:16" s="740" customFormat="1" x14ac:dyDescent="0.25">
      <c r="A72" s="731"/>
      <c r="B72" s="732" t="s">
        <v>132</v>
      </c>
      <c r="C72" s="733"/>
      <c r="D72" s="734"/>
      <c r="E72" s="734"/>
      <c r="F72" s="735"/>
      <c r="G72" s="734"/>
      <c r="H72" s="736"/>
      <c r="I72" s="746"/>
      <c r="J72" s="735"/>
      <c r="K72" s="735"/>
      <c r="L72" s="736"/>
      <c r="M72" s="739"/>
      <c r="N72" s="739"/>
      <c r="O72" s="739"/>
    </row>
    <row r="73" spans="1:16" s="740" customFormat="1" ht="95.25" thickBot="1" x14ac:dyDescent="0.3">
      <c r="A73" s="731"/>
      <c r="B73" s="679" t="s">
        <v>1216</v>
      </c>
      <c r="C73" s="762"/>
      <c r="D73" s="763"/>
      <c r="E73" s="763">
        <v>-85</v>
      </c>
      <c r="F73" s="764"/>
      <c r="G73" s="763"/>
      <c r="H73" s="749">
        <f>SUM(C73:G73)</f>
        <v>-85</v>
      </c>
      <c r="I73" s="767"/>
      <c r="J73" s="764"/>
      <c r="K73" s="764"/>
      <c r="L73" s="749">
        <f>SUM(I73:K73)</f>
        <v>0</v>
      </c>
      <c r="M73" s="750">
        <f>SUM(H73+L73)</f>
        <v>-85</v>
      </c>
      <c r="N73" s="750"/>
      <c r="O73" s="750">
        <f>SUM(M73+N73)</f>
        <v>-85</v>
      </c>
    </row>
    <row r="74" spans="1:16" ht="17.25" thickTop="1" thickBot="1" x14ac:dyDescent="0.3">
      <c r="A74" s="743"/>
      <c r="B74" s="744" t="s">
        <v>379</v>
      </c>
      <c r="C74" s="745">
        <f>+C64+C68+C73+C69+C70+C71</f>
        <v>50775</v>
      </c>
      <c r="D74" s="745">
        <f t="shared" ref="D74:O74" si="44">+D64+D68+D73+D69+D70+D71</f>
        <v>8475</v>
      </c>
      <c r="E74" s="745">
        <f t="shared" si="44"/>
        <v>6576</v>
      </c>
      <c r="F74" s="745">
        <f t="shared" si="44"/>
        <v>0</v>
      </c>
      <c r="G74" s="745">
        <f t="shared" si="44"/>
        <v>0</v>
      </c>
      <c r="H74" s="745">
        <f t="shared" si="44"/>
        <v>65826</v>
      </c>
      <c r="I74" s="745">
        <f t="shared" si="44"/>
        <v>0</v>
      </c>
      <c r="J74" s="745">
        <f t="shared" si="44"/>
        <v>0</v>
      </c>
      <c r="K74" s="745">
        <f t="shared" si="44"/>
        <v>0</v>
      </c>
      <c r="L74" s="745">
        <f t="shared" si="44"/>
        <v>0</v>
      </c>
      <c r="M74" s="745">
        <f t="shared" si="44"/>
        <v>65826</v>
      </c>
      <c r="N74" s="745">
        <f t="shared" si="44"/>
        <v>0</v>
      </c>
      <c r="O74" s="745">
        <f t="shared" si="44"/>
        <v>65826</v>
      </c>
      <c r="P74" s="650">
        <f>O75+O76</f>
        <v>65826</v>
      </c>
    </row>
    <row r="75" spans="1:16" ht="17.25" thickTop="1" thickBot="1" x14ac:dyDescent="0.3">
      <c r="A75" s="743"/>
      <c r="B75" s="744" t="s">
        <v>378</v>
      </c>
      <c r="C75" s="745">
        <f>+C65+C68+C69+C70+C71</f>
        <v>49540</v>
      </c>
      <c r="D75" s="745">
        <f t="shared" ref="D75:O75" si="45">+D65+D68+D69+D70+D71</f>
        <v>8206</v>
      </c>
      <c r="E75" s="745">
        <f t="shared" si="45"/>
        <v>6541</v>
      </c>
      <c r="F75" s="745">
        <f t="shared" si="45"/>
        <v>0</v>
      </c>
      <c r="G75" s="745">
        <f t="shared" si="45"/>
        <v>0</v>
      </c>
      <c r="H75" s="745">
        <f t="shared" si="45"/>
        <v>64287</v>
      </c>
      <c r="I75" s="745">
        <f t="shared" si="45"/>
        <v>0</v>
      </c>
      <c r="J75" s="745">
        <f t="shared" si="45"/>
        <v>0</v>
      </c>
      <c r="K75" s="745">
        <f t="shared" si="45"/>
        <v>0</v>
      </c>
      <c r="L75" s="745">
        <f t="shared" si="45"/>
        <v>0</v>
      </c>
      <c r="M75" s="745">
        <f t="shared" si="45"/>
        <v>64287</v>
      </c>
      <c r="N75" s="745">
        <f t="shared" si="45"/>
        <v>0</v>
      </c>
      <c r="O75" s="745">
        <f t="shared" si="45"/>
        <v>64287</v>
      </c>
    </row>
    <row r="76" spans="1:16" ht="17.25" thickTop="1" thickBot="1" x14ac:dyDescent="0.3">
      <c r="A76" s="743"/>
      <c r="B76" s="744" t="s">
        <v>377</v>
      </c>
      <c r="C76" s="745">
        <f>+C66+C73</f>
        <v>1235</v>
      </c>
      <c r="D76" s="745">
        <f t="shared" ref="D76:O76" si="46">+D66+D73</f>
        <v>269</v>
      </c>
      <c r="E76" s="745">
        <f t="shared" si="46"/>
        <v>35</v>
      </c>
      <c r="F76" s="745">
        <f t="shared" si="46"/>
        <v>0</v>
      </c>
      <c r="G76" s="745">
        <f t="shared" si="46"/>
        <v>0</v>
      </c>
      <c r="H76" s="745">
        <f t="shared" si="46"/>
        <v>1539</v>
      </c>
      <c r="I76" s="745">
        <f t="shared" si="46"/>
        <v>0</v>
      </c>
      <c r="J76" s="745">
        <f t="shared" si="46"/>
        <v>0</v>
      </c>
      <c r="K76" s="745">
        <f t="shared" si="46"/>
        <v>0</v>
      </c>
      <c r="L76" s="745">
        <f t="shared" si="46"/>
        <v>0</v>
      </c>
      <c r="M76" s="745">
        <f t="shared" si="46"/>
        <v>1539</v>
      </c>
      <c r="N76" s="745">
        <f t="shared" si="46"/>
        <v>0</v>
      </c>
      <c r="O76" s="745">
        <f t="shared" si="46"/>
        <v>1539</v>
      </c>
    </row>
    <row r="77" spans="1:16" ht="16.5" thickTop="1" x14ac:dyDescent="0.25">
      <c r="A77" s="723"/>
      <c r="B77" s="724" t="s">
        <v>783</v>
      </c>
      <c r="C77" s="725"/>
      <c r="D77" s="726"/>
      <c r="E77" s="726"/>
      <c r="F77" s="742"/>
      <c r="G77" s="726"/>
      <c r="H77" s="728"/>
      <c r="I77" s="729"/>
      <c r="J77" s="727"/>
      <c r="K77" s="727"/>
      <c r="L77" s="728"/>
      <c r="M77" s="728"/>
      <c r="N77" s="728"/>
      <c r="O77" s="728"/>
    </row>
    <row r="78" spans="1:16" x14ac:dyDescent="0.25">
      <c r="A78" s="723" t="s">
        <v>150</v>
      </c>
      <c r="B78" s="679" t="s">
        <v>347</v>
      </c>
      <c r="C78" s="725">
        <f>SUM(C79:C80)</f>
        <v>112543</v>
      </c>
      <c r="D78" s="725">
        <f>SUM(D79:D80)</f>
        <v>20551</v>
      </c>
      <c r="E78" s="725">
        <f>SUM(E79:E80)</f>
        <v>17307</v>
      </c>
      <c r="F78" s="727"/>
      <c r="G78" s="726"/>
      <c r="H78" s="728">
        <f>SUM(C78:G78)</f>
        <v>150401</v>
      </c>
      <c r="I78" s="729">
        <v>157</v>
      </c>
      <c r="J78" s="727"/>
      <c r="K78" s="727"/>
      <c r="L78" s="728">
        <f>SUM(I78:K78)</f>
        <v>157</v>
      </c>
      <c r="M78" s="730">
        <f>SUM(H78+L78)</f>
        <v>150558</v>
      </c>
      <c r="N78" s="730"/>
      <c r="O78" s="730">
        <f>SUM(M78+N78)</f>
        <v>150558</v>
      </c>
    </row>
    <row r="79" spans="1:16" s="740" customFormat="1" x14ac:dyDescent="0.25">
      <c r="A79" s="731"/>
      <c r="B79" s="732" t="s">
        <v>381</v>
      </c>
      <c r="C79" s="733">
        <v>109710</v>
      </c>
      <c r="D79" s="734">
        <v>19945</v>
      </c>
      <c r="E79" s="734">
        <v>17287</v>
      </c>
      <c r="F79" s="735"/>
      <c r="G79" s="734"/>
      <c r="H79" s="736">
        <f>SUM(C79:G79)</f>
        <v>146942</v>
      </c>
      <c r="I79" s="746">
        <v>157</v>
      </c>
      <c r="J79" s="735"/>
      <c r="K79" s="735"/>
      <c r="L79" s="736">
        <f>SUM(I79:K79)</f>
        <v>157</v>
      </c>
      <c r="M79" s="739">
        <f>SUM(H79+L79)</f>
        <v>147099</v>
      </c>
      <c r="N79" s="739"/>
      <c r="O79" s="739">
        <f>SUM(M79+N79)</f>
        <v>147099</v>
      </c>
    </row>
    <row r="80" spans="1:16" s="740" customFormat="1" x14ac:dyDescent="0.25">
      <c r="A80" s="775"/>
      <c r="B80" s="748" t="s">
        <v>380</v>
      </c>
      <c r="C80" s="733">
        <v>2833</v>
      </c>
      <c r="D80" s="734">
        <v>606</v>
      </c>
      <c r="E80" s="734">
        <v>20</v>
      </c>
      <c r="F80" s="735"/>
      <c r="G80" s="734"/>
      <c r="H80" s="736">
        <f>SUM(C80:G80)</f>
        <v>3459</v>
      </c>
      <c r="I80" s="746"/>
      <c r="J80" s="735"/>
      <c r="K80" s="735"/>
      <c r="L80" s="736">
        <f>SUM(I80:K80)</f>
        <v>0</v>
      </c>
      <c r="M80" s="736">
        <f>SUM(H80+L80)</f>
        <v>3459</v>
      </c>
      <c r="N80" s="736"/>
      <c r="O80" s="736">
        <f>SUM(M80+N80)</f>
        <v>3459</v>
      </c>
    </row>
    <row r="81" spans="1:16" s="740" customFormat="1" x14ac:dyDescent="0.25">
      <c r="A81" s="775"/>
      <c r="B81" s="748" t="s">
        <v>131</v>
      </c>
      <c r="C81" s="733"/>
      <c r="D81" s="734"/>
      <c r="E81" s="734"/>
      <c r="F81" s="735"/>
      <c r="G81" s="734"/>
      <c r="H81" s="736"/>
      <c r="I81" s="746"/>
      <c r="J81" s="735"/>
      <c r="K81" s="735"/>
      <c r="L81" s="736"/>
      <c r="M81" s="736"/>
      <c r="N81" s="736"/>
      <c r="O81" s="736"/>
    </row>
    <row r="82" spans="1:16" ht="31.5" x14ac:dyDescent="0.25">
      <c r="A82" s="761"/>
      <c r="B82" s="679" t="s">
        <v>915</v>
      </c>
      <c r="C82" s="762"/>
      <c r="D82" s="763"/>
      <c r="E82" s="763">
        <v>774</v>
      </c>
      <c r="F82" s="764"/>
      <c r="G82" s="763"/>
      <c r="H82" s="749">
        <f t="shared" ref="H82" si="47">SUM(C82:G82)</f>
        <v>774</v>
      </c>
      <c r="I82" s="767"/>
      <c r="J82" s="764"/>
      <c r="K82" s="764"/>
      <c r="L82" s="749">
        <f t="shared" ref="L82" si="48">SUM(I82:K82)</f>
        <v>0</v>
      </c>
      <c r="M82" s="750">
        <f t="shared" ref="M82" si="49">SUM(H82+L82)</f>
        <v>774</v>
      </c>
      <c r="N82" s="750"/>
      <c r="O82" s="750">
        <f t="shared" ref="O82" si="50">SUM(M82+N82)</f>
        <v>774</v>
      </c>
    </row>
    <row r="83" spans="1:16" s="740" customFormat="1" ht="16.5" thickBot="1" x14ac:dyDescent="0.3">
      <c r="A83" s="731"/>
      <c r="B83" s="732" t="s">
        <v>132</v>
      </c>
      <c r="C83" s="733"/>
      <c r="D83" s="734"/>
      <c r="E83" s="734"/>
      <c r="F83" s="735"/>
      <c r="G83" s="734"/>
      <c r="H83" s="736"/>
      <c r="I83" s="746"/>
      <c r="J83" s="735"/>
      <c r="K83" s="735"/>
      <c r="L83" s="736"/>
      <c r="M83" s="739"/>
      <c r="N83" s="739"/>
      <c r="O83" s="739"/>
    </row>
    <row r="84" spans="1:16" ht="17.25" thickTop="1" thickBot="1" x14ac:dyDescent="0.3">
      <c r="A84" s="743"/>
      <c r="B84" s="744" t="s">
        <v>379</v>
      </c>
      <c r="C84" s="745">
        <f>+C78+C82</f>
        <v>112543</v>
      </c>
      <c r="D84" s="745">
        <f t="shared" ref="D84:O84" si="51">+D78+D82</f>
        <v>20551</v>
      </c>
      <c r="E84" s="745">
        <f t="shared" si="51"/>
        <v>18081</v>
      </c>
      <c r="F84" s="745">
        <f t="shared" si="51"/>
        <v>0</v>
      </c>
      <c r="G84" s="745">
        <f t="shared" si="51"/>
        <v>0</v>
      </c>
      <c r="H84" s="745">
        <f t="shared" si="51"/>
        <v>151175</v>
      </c>
      <c r="I84" s="745">
        <f t="shared" si="51"/>
        <v>157</v>
      </c>
      <c r="J84" s="745">
        <f t="shared" si="51"/>
        <v>0</v>
      </c>
      <c r="K84" s="745">
        <f t="shared" si="51"/>
        <v>0</v>
      </c>
      <c r="L84" s="745">
        <f t="shared" si="51"/>
        <v>157</v>
      </c>
      <c r="M84" s="745">
        <f t="shared" si="51"/>
        <v>151332</v>
      </c>
      <c r="N84" s="745">
        <f t="shared" si="51"/>
        <v>0</v>
      </c>
      <c r="O84" s="745">
        <f t="shared" si="51"/>
        <v>151332</v>
      </c>
      <c r="P84" s="650">
        <f>O85+O86</f>
        <v>151332</v>
      </c>
    </row>
    <row r="85" spans="1:16" ht="17.25" thickTop="1" thickBot="1" x14ac:dyDescent="0.3">
      <c r="A85" s="743"/>
      <c r="B85" s="744" t="s">
        <v>378</v>
      </c>
      <c r="C85" s="745">
        <f>+C79+C82</f>
        <v>109710</v>
      </c>
      <c r="D85" s="745">
        <f t="shared" ref="D85:O85" si="52">+D79+D82</f>
        <v>19945</v>
      </c>
      <c r="E85" s="745">
        <f t="shared" si="52"/>
        <v>18061</v>
      </c>
      <c r="F85" s="745">
        <f t="shared" si="52"/>
        <v>0</v>
      </c>
      <c r="G85" s="745">
        <f t="shared" si="52"/>
        <v>0</v>
      </c>
      <c r="H85" s="745">
        <f t="shared" si="52"/>
        <v>147716</v>
      </c>
      <c r="I85" s="745">
        <f t="shared" si="52"/>
        <v>157</v>
      </c>
      <c r="J85" s="745">
        <f t="shared" si="52"/>
        <v>0</v>
      </c>
      <c r="K85" s="745">
        <f t="shared" si="52"/>
        <v>0</v>
      </c>
      <c r="L85" s="745">
        <f t="shared" si="52"/>
        <v>157</v>
      </c>
      <c r="M85" s="745">
        <f t="shared" si="52"/>
        <v>147873</v>
      </c>
      <c r="N85" s="745">
        <f t="shared" si="52"/>
        <v>0</v>
      </c>
      <c r="O85" s="745">
        <f t="shared" si="52"/>
        <v>147873</v>
      </c>
    </row>
    <row r="86" spans="1:16" ht="17.25" thickTop="1" thickBot="1" x14ac:dyDescent="0.3">
      <c r="A86" s="743"/>
      <c r="B86" s="744" t="s">
        <v>377</v>
      </c>
      <c r="C86" s="745">
        <f>+C80</f>
        <v>2833</v>
      </c>
      <c r="D86" s="745">
        <f t="shared" ref="D86:O86" si="53">+D80</f>
        <v>606</v>
      </c>
      <c r="E86" s="745">
        <f t="shared" si="53"/>
        <v>20</v>
      </c>
      <c r="F86" s="745">
        <f t="shared" si="53"/>
        <v>0</v>
      </c>
      <c r="G86" s="745">
        <f t="shared" si="53"/>
        <v>0</v>
      </c>
      <c r="H86" s="745">
        <f t="shared" si="53"/>
        <v>3459</v>
      </c>
      <c r="I86" s="745">
        <f t="shared" si="53"/>
        <v>0</v>
      </c>
      <c r="J86" s="745">
        <f t="shared" si="53"/>
        <v>0</v>
      </c>
      <c r="K86" s="745">
        <f t="shared" si="53"/>
        <v>0</v>
      </c>
      <c r="L86" s="745">
        <f t="shared" si="53"/>
        <v>0</v>
      </c>
      <c r="M86" s="745">
        <f t="shared" si="53"/>
        <v>3459</v>
      </c>
      <c r="N86" s="745">
        <f t="shared" si="53"/>
        <v>0</v>
      </c>
      <c r="O86" s="745">
        <f t="shared" si="53"/>
        <v>3459</v>
      </c>
    </row>
    <row r="87" spans="1:16" ht="16.5" thickTop="1" x14ac:dyDescent="0.25">
      <c r="A87" s="723" t="s">
        <v>151</v>
      </c>
      <c r="B87" s="724" t="s">
        <v>784</v>
      </c>
      <c r="C87" s="725"/>
      <c r="D87" s="726"/>
      <c r="E87" s="726"/>
      <c r="F87" s="742"/>
      <c r="G87" s="726"/>
      <c r="H87" s="728"/>
      <c r="I87" s="729"/>
      <c r="J87" s="727"/>
      <c r="K87" s="727"/>
      <c r="L87" s="728"/>
      <c r="M87" s="728"/>
      <c r="N87" s="728"/>
      <c r="O87" s="728"/>
    </row>
    <row r="88" spans="1:16" x14ac:dyDescent="0.25">
      <c r="A88" s="723"/>
      <c r="B88" s="679" t="s">
        <v>347</v>
      </c>
      <c r="C88" s="725">
        <f>SUM(C89:C90)</f>
        <v>85735</v>
      </c>
      <c r="D88" s="725">
        <f>SUM(D89:D90)</f>
        <v>14461</v>
      </c>
      <c r="E88" s="725">
        <f>SUM(E89:E90)</f>
        <v>14331</v>
      </c>
      <c r="F88" s="727"/>
      <c r="G88" s="726"/>
      <c r="H88" s="728">
        <f>SUM(C88:G88)</f>
        <v>114527</v>
      </c>
      <c r="I88" s="729"/>
      <c r="J88" s="727"/>
      <c r="K88" s="727"/>
      <c r="L88" s="728">
        <f>SUM(I88:K88)</f>
        <v>0</v>
      </c>
      <c r="M88" s="730">
        <f>SUM(H88+L88)</f>
        <v>114527</v>
      </c>
      <c r="N88" s="730"/>
      <c r="O88" s="730">
        <f>SUM(M88+N88)</f>
        <v>114527</v>
      </c>
    </row>
    <row r="89" spans="1:16" s="740" customFormat="1" x14ac:dyDescent="0.25">
      <c r="A89" s="731"/>
      <c r="B89" s="732" t="s">
        <v>381</v>
      </c>
      <c r="C89" s="733">
        <v>83450</v>
      </c>
      <c r="D89" s="734">
        <v>13963</v>
      </c>
      <c r="E89" s="734">
        <v>14311</v>
      </c>
      <c r="F89" s="735"/>
      <c r="G89" s="734"/>
      <c r="H89" s="736">
        <f>SUM(C89:G89)</f>
        <v>111724</v>
      </c>
      <c r="I89" s="746"/>
      <c r="J89" s="735"/>
      <c r="K89" s="735"/>
      <c r="L89" s="736">
        <f>SUM(I89:K89)</f>
        <v>0</v>
      </c>
      <c r="M89" s="739">
        <f>SUM(H89+L89)</f>
        <v>111724</v>
      </c>
      <c r="N89" s="739"/>
      <c r="O89" s="739">
        <f>SUM(M89+N89)</f>
        <v>111724</v>
      </c>
    </row>
    <row r="90" spans="1:16" s="740" customFormat="1" x14ac:dyDescent="0.25">
      <c r="A90" s="731"/>
      <c r="B90" s="732" t="s">
        <v>380</v>
      </c>
      <c r="C90" s="733">
        <v>2285</v>
      </c>
      <c r="D90" s="734">
        <v>498</v>
      </c>
      <c r="E90" s="734">
        <v>20</v>
      </c>
      <c r="F90" s="735"/>
      <c r="G90" s="734"/>
      <c r="H90" s="736">
        <f>SUM(C90:G90)</f>
        <v>2803</v>
      </c>
      <c r="I90" s="746"/>
      <c r="J90" s="735"/>
      <c r="K90" s="735"/>
      <c r="L90" s="736">
        <f>SUM(I90:K90)</f>
        <v>0</v>
      </c>
      <c r="M90" s="739">
        <f>SUM(H90+L90)</f>
        <v>2803</v>
      </c>
      <c r="N90" s="739"/>
      <c r="O90" s="739">
        <f>SUM(M90+N90)</f>
        <v>2803</v>
      </c>
    </row>
    <row r="91" spans="1:16" s="740" customFormat="1" x14ac:dyDescent="0.25">
      <c r="A91" s="731"/>
      <c r="B91" s="732" t="s">
        <v>131</v>
      </c>
      <c r="C91" s="733"/>
      <c r="D91" s="734"/>
      <c r="E91" s="734"/>
      <c r="F91" s="735"/>
      <c r="G91" s="734"/>
      <c r="H91" s="736"/>
      <c r="I91" s="746"/>
      <c r="J91" s="735"/>
      <c r="K91" s="735"/>
      <c r="L91" s="736"/>
      <c r="M91" s="739"/>
      <c r="N91" s="739"/>
      <c r="O91" s="739"/>
    </row>
    <row r="92" spans="1:16" s="740" customFormat="1" ht="47.25" x14ac:dyDescent="0.25">
      <c r="A92" s="731"/>
      <c r="B92" s="679" t="s">
        <v>1215</v>
      </c>
      <c r="C92" s="762">
        <v>247</v>
      </c>
      <c r="D92" s="763">
        <v>38</v>
      </c>
      <c r="E92" s="763"/>
      <c r="F92" s="735"/>
      <c r="G92" s="734"/>
      <c r="H92" s="749">
        <f t="shared" ref="H92:H94" si="54">SUM(C92:G92)</f>
        <v>285</v>
      </c>
      <c r="I92" s="746"/>
      <c r="J92" s="735"/>
      <c r="K92" s="735"/>
      <c r="L92" s="749">
        <f t="shared" ref="L92:L94" si="55">SUM(I92:K92)</f>
        <v>0</v>
      </c>
      <c r="M92" s="750">
        <f t="shared" ref="M92:M94" si="56">SUM(H92+L92)</f>
        <v>285</v>
      </c>
      <c r="N92" s="739"/>
      <c r="O92" s="750">
        <f t="shared" ref="O92:O94" si="57">SUM(M92+N92)</f>
        <v>285</v>
      </c>
    </row>
    <row r="93" spans="1:16" s="740" customFormat="1" ht="31.5" x14ac:dyDescent="0.25">
      <c r="A93" s="731"/>
      <c r="B93" s="679" t="s">
        <v>915</v>
      </c>
      <c r="C93" s="762"/>
      <c r="D93" s="763"/>
      <c r="E93" s="763">
        <v>277</v>
      </c>
      <c r="F93" s="735"/>
      <c r="G93" s="734"/>
      <c r="H93" s="749">
        <f t="shared" si="54"/>
        <v>277</v>
      </c>
      <c r="I93" s="746"/>
      <c r="J93" s="735"/>
      <c r="K93" s="735"/>
      <c r="L93" s="749">
        <f t="shared" si="55"/>
        <v>0</v>
      </c>
      <c r="M93" s="750">
        <f t="shared" si="56"/>
        <v>277</v>
      </c>
      <c r="N93" s="739"/>
      <c r="O93" s="750">
        <f t="shared" si="57"/>
        <v>277</v>
      </c>
    </row>
    <row r="94" spans="1:16" s="740" customFormat="1" ht="31.5" x14ac:dyDescent="0.25">
      <c r="A94" s="731"/>
      <c r="B94" s="679" t="s">
        <v>1218</v>
      </c>
      <c r="C94" s="762"/>
      <c r="D94" s="763"/>
      <c r="E94" s="763">
        <v>-65</v>
      </c>
      <c r="F94" s="735"/>
      <c r="G94" s="734"/>
      <c r="H94" s="749">
        <f t="shared" si="54"/>
        <v>-65</v>
      </c>
      <c r="I94" s="746"/>
      <c r="J94" s="735"/>
      <c r="K94" s="735"/>
      <c r="L94" s="749">
        <f t="shared" si="55"/>
        <v>0</v>
      </c>
      <c r="M94" s="750">
        <f t="shared" si="56"/>
        <v>-65</v>
      </c>
      <c r="N94" s="739"/>
      <c r="O94" s="750">
        <f t="shared" si="57"/>
        <v>-65</v>
      </c>
    </row>
    <row r="95" spans="1:16" s="740" customFormat="1" ht="16.5" thickBot="1" x14ac:dyDescent="0.3">
      <c r="A95" s="731"/>
      <c r="B95" s="732" t="s">
        <v>132</v>
      </c>
      <c r="C95" s="762"/>
      <c r="D95" s="763"/>
      <c r="E95" s="763"/>
      <c r="F95" s="735"/>
      <c r="G95" s="734"/>
      <c r="H95" s="749"/>
      <c r="I95" s="746"/>
      <c r="J95" s="735"/>
      <c r="K95" s="735"/>
      <c r="L95" s="749"/>
      <c r="M95" s="750"/>
      <c r="N95" s="739"/>
      <c r="O95" s="750"/>
    </row>
    <row r="96" spans="1:16" ht="17.25" thickTop="1" thickBot="1" x14ac:dyDescent="0.3">
      <c r="A96" s="743"/>
      <c r="B96" s="744" t="s">
        <v>379</v>
      </c>
      <c r="C96" s="745">
        <f>+C88+C92+C93+C94</f>
        <v>85982</v>
      </c>
      <c r="D96" s="745">
        <f t="shared" ref="D96:O96" si="58">+D88+D92+D93+D94</f>
        <v>14499</v>
      </c>
      <c r="E96" s="745">
        <f t="shared" si="58"/>
        <v>14543</v>
      </c>
      <c r="F96" s="745">
        <f t="shared" si="58"/>
        <v>0</v>
      </c>
      <c r="G96" s="745">
        <f t="shared" si="58"/>
        <v>0</v>
      </c>
      <c r="H96" s="745">
        <f t="shared" si="58"/>
        <v>115024</v>
      </c>
      <c r="I96" s="745">
        <f t="shared" si="58"/>
        <v>0</v>
      </c>
      <c r="J96" s="745">
        <f t="shared" si="58"/>
        <v>0</v>
      </c>
      <c r="K96" s="745">
        <f t="shared" si="58"/>
        <v>0</v>
      </c>
      <c r="L96" s="745">
        <f t="shared" si="58"/>
        <v>0</v>
      </c>
      <c r="M96" s="745">
        <f t="shared" si="58"/>
        <v>115024</v>
      </c>
      <c r="N96" s="745">
        <f t="shared" si="58"/>
        <v>0</v>
      </c>
      <c r="O96" s="745">
        <f t="shared" si="58"/>
        <v>115024</v>
      </c>
      <c r="P96" s="650">
        <f>O97+O98</f>
        <v>115024</v>
      </c>
    </row>
    <row r="97" spans="1:16" ht="17.25" thickTop="1" thickBot="1" x14ac:dyDescent="0.3">
      <c r="A97" s="743"/>
      <c r="B97" s="744" t="s">
        <v>378</v>
      </c>
      <c r="C97" s="745">
        <f t="shared" ref="C97:O97" si="59">+C89+C92+C93+C94</f>
        <v>83697</v>
      </c>
      <c r="D97" s="745">
        <f t="shared" si="59"/>
        <v>14001</v>
      </c>
      <c r="E97" s="745">
        <f t="shared" si="59"/>
        <v>14523</v>
      </c>
      <c r="F97" s="745">
        <f t="shared" si="59"/>
        <v>0</v>
      </c>
      <c r="G97" s="745">
        <f t="shared" si="59"/>
        <v>0</v>
      </c>
      <c r="H97" s="745">
        <f t="shared" si="59"/>
        <v>112221</v>
      </c>
      <c r="I97" s="745">
        <f t="shared" si="59"/>
        <v>0</v>
      </c>
      <c r="J97" s="745">
        <f t="shared" si="59"/>
        <v>0</v>
      </c>
      <c r="K97" s="745">
        <f t="shared" si="59"/>
        <v>0</v>
      </c>
      <c r="L97" s="745">
        <f t="shared" si="59"/>
        <v>0</v>
      </c>
      <c r="M97" s="745">
        <f t="shared" si="59"/>
        <v>112221</v>
      </c>
      <c r="N97" s="745">
        <f t="shared" si="59"/>
        <v>0</v>
      </c>
      <c r="O97" s="745">
        <f t="shared" si="59"/>
        <v>112221</v>
      </c>
    </row>
    <row r="98" spans="1:16" ht="17.25" thickTop="1" thickBot="1" x14ac:dyDescent="0.3">
      <c r="A98" s="743"/>
      <c r="B98" s="744" t="s">
        <v>377</v>
      </c>
      <c r="C98" s="745">
        <f>+C90</f>
        <v>2285</v>
      </c>
      <c r="D98" s="745">
        <f t="shared" ref="D98:O98" si="60">+D90</f>
        <v>498</v>
      </c>
      <c r="E98" s="745">
        <f t="shared" si="60"/>
        <v>20</v>
      </c>
      <c r="F98" s="745">
        <f t="shared" si="60"/>
        <v>0</v>
      </c>
      <c r="G98" s="745">
        <f t="shared" si="60"/>
        <v>0</v>
      </c>
      <c r="H98" s="745">
        <f t="shared" si="60"/>
        <v>2803</v>
      </c>
      <c r="I98" s="745">
        <f t="shared" si="60"/>
        <v>0</v>
      </c>
      <c r="J98" s="745">
        <f t="shared" si="60"/>
        <v>0</v>
      </c>
      <c r="K98" s="745">
        <f t="shared" si="60"/>
        <v>0</v>
      </c>
      <c r="L98" s="745">
        <f t="shared" si="60"/>
        <v>0</v>
      </c>
      <c r="M98" s="745">
        <f t="shared" si="60"/>
        <v>2803</v>
      </c>
      <c r="N98" s="745">
        <f t="shared" si="60"/>
        <v>0</v>
      </c>
      <c r="O98" s="745">
        <f t="shared" si="60"/>
        <v>2803</v>
      </c>
    </row>
    <row r="99" spans="1:16" ht="17.25" thickTop="1" thickBot="1" x14ac:dyDescent="0.3">
      <c r="A99" s="743"/>
      <c r="B99" s="744" t="s">
        <v>404</v>
      </c>
      <c r="C99" s="745">
        <f t="shared" ref="C99:O99" si="61">SUM(C37+C49+C60+C74+C84+C96)</f>
        <v>511707</v>
      </c>
      <c r="D99" s="745">
        <f t="shared" si="61"/>
        <v>87558</v>
      </c>
      <c r="E99" s="745">
        <f t="shared" si="61"/>
        <v>81079</v>
      </c>
      <c r="F99" s="745">
        <f t="shared" si="61"/>
        <v>0</v>
      </c>
      <c r="G99" s="745">
        <f t="shared" si="61"/>
        <v>0</v>
      </c>
      <c r="H99" s="745">
        <f t="shared" si="61"/>
        <v>680344</v>
      </c>
      <c r="I99" s="745">
        <f t="shared" si="61"/>
        <v>900</v>
      </c>
      <c r="J99" s="745">
        <f t="shared" si="61"/>
        <v>0</v>
      </c>
      <c r="K99" s="745">
        <f t="shared" si="61"/>
        <v>0</v>
      </c>
      <c r="L99" s="745">
        <f t="shared" si="61"/>
        <v>900</v>
      </c>
      <c r="M99" s="745">
        <f t="shared" si="61"/>
        <v>681244</v>
      </c>
      <c r="N99" s="745">
        <f t="shared" si="61"/>
        <v>0</v>
      </c>
      <c r="O99" s="745">
        <f t="shared" si="61"/>
        <v>681244</v>
      </c>
    </row>
    <row r="100" spans="1:16" ht="16.5" thickTop="1" x14ac:dyDescent="0.25">
      <c r="A100" s="723" t="s">
        <v>152</v>
      </c>
      <c r="B100" s="724" t="s">
        <v>403</v>
      </c>
      <c r="C100" s="725"/>
      <c r="D100" s="726"/>
      <c r="E100" s="726"/>
      <c r="F100" s="742"/>
      <c r="G100" s="726"/>
      <c r="H100" s="728"/>
      <c r="I100" s="729"/>
      <c r="J100" s="727"/>
      <c r="K100" s="727"/>
      <c r="L100" s="728"/>
      <c r="M100" s="728"/>
      <c r="N100" s="728"/>
      <c r="O100" s="728"/>
    </row>
    <row r="101" spans="1:16" x14ac:dyDescent="0.25">
      <c r="A101" s="723"/>
      <c r="B101" s="679" t="s">
        <v>347</v>
      </c>
      <c r="C101" s="725">
        <f>SUM(C102:C103)</f>
        <v>191252</v>
      </c>
      <c r="D101" s="725">
        <f>SUM(D102:D103)</f>
        <v>35223</v>
      </c>
      <c r="E101" s="725">
        <f>SUM(E102:E103)</f>
        <v>56252</v>
      </c>
      <c r="F101" s="725">
        <f t="shared" ref="F101" si="62">SUM(F102:F103)</f>
        <v>0</v>
      </c>
      <c r="G101" s="725">
        <f>SUM(G102:G103)</f>
        <v>0</v>
      </c>
      <c r="H101" s="725">
        <f t="shared" ref="H101:K101" si="63">SUM(H102:H103)</f>
        <v>282727</v>
      </c>
      <c r="I101" s="725">
        <f t="shared" si="63"/>
        <v>191</v>
      </c>
      <c r="J101" s="727">
        <f t="shared" si="63"/>
        <v>0</v>
      </c>
      <c r="K101" s="727">
        <f t="shared" si="63"/>
        <v>0</v>
      </c>
      <c r="L101" s="728">
        <f>SUM(I101:K101)</f>
        <v>191</v>
      </c>
      <c r="M101" s="730">
        <f>SUM(H101+L101)</f>
        <v>282918</v>
      </c>
      <c r="N101" s="730"/>
      <c r="O101" s="730">
        <f>SUM(M101+N101)</f>
        <v>282918</v>
      </c>
    </row>
    <row r="102" spans="1:16" x14ac:dyDescent="0.25">
      <c r="A102" s="723"/>
      <c r="B102" s="732" t="s">
        <v>381</v>
      </c>
      <c r="C102" s="733">
        <v>186931</v>
      </c>
      <c r="D102" s="734">
        <v>34261</v>
      </c>
      <c r="E102" s="734">
        <v>56022</v>
      </c>
      <c r="F102" s="735"/>
      <c r="G102" s="734"/>
      <c r="H102" s="736">
        <f>SUM(C102:G102)</f>
        <v>277214</v>
      </c>
      <c r="I102" s="746">
        <v>191</v>
      </c>
      <c r="J102" s="735"/>
      <c r="K102" s="735"/>
      <c r="L102" s="736">
        <f>SUM(I102:K102)</f>
        <v>191</v>
      </c>
      <c r="M102" s="739">
        <f>SUM(H102+L102)</f>
        <v>277405</v>
      </c>
      <c r="N102" s="739"/>
      <c r="O102" s="739">
        <f>SUM(M102+N102)</f>
        <v>277405</v>
      </c>
    </row>
    <row r="103" spans="1:16" x14ac:dyDescent="0.25">
      <c r="A103" s="723"/>
      <c r="B103" s="732" t="s">
        <v>380</v>
      </c>
      <c r="C103" s="733">
        <v>4321</v>
      </c>
      <c r="D103" s="734">
        <v>962</v>
      </c>
      <c r="E103" s="734">
        <v>230</v>
      </c>
      <c r="F103" s="735"/>
      <c r="G103" s="734"/>
      <c r="H103" s="736">
        <f>SUM(C103:G103)</f>
        <v>5513</v>
      </c>
      <c r="I103" s="746"/>
      <c r="J103" s="735"/>
      <c r="K103" s="735"/>
      <c r="L103" s="736">
        <f>SUM(I103:K103)</f>
        <v>0</v>
      </c>
      <c r="M103" s="739">
        <f>SUM(H103+L103)</f>
        <v>5513</v>
      </c>
      <c r="N103" s="739"/>
      <c r="O103" s="739">
        <f>SUM(M103+N103)</f>
        <v>5513</v>
      </c>
    </row>
    <row r="104" spans="1:16" x14ac:dyDescent="0.25">
      <c r="A104" s="723"/>
      <c r="B104" s="732" t="s">
        <v>131</v>
      </c>
      <c r="C104" s="733"/>
      <c r="D104" s="734"/>
      <c r="E104" s="734"/>
      <c r="F104" s="735"/>
      <c r="G104" s="734"/>
      <c r="H104" s="736"/>
      <c r="I104" s="746"/>
      <c r="J104" s="735"/>
      <c r="K104" s="735"/>
      <c r="L104" s="736"/>
      <c r="M104" s="739"/>
      <c r="N104" s="739"/>
      <c r="O104" s="739"/>
    </row>
    <row r="105" spans="1:16" ht="31.5" x14ac:dyDescent="0.25">
      <c r="A105" s="723"/>
      <c r="B105" s="679" t="s">
        <v>564</v>
      </c>
      <c r="C105" s="762"/>
      <c r="D105" s="763"/>
      <c r="E105" s="763">
        <v>-137</v>
      </c>
      <c r="F105" s="764"/>
      <c r="G105" s="734"/>
      <c r="H105" s="749">
        <f t="shared" ref="H105:H106" si="64">SUM(C105:G105)</f>
        <v>-137</v>
      </c>
      <c r="I105" s="767">
        <v>137</v>
      </c>
      <c r="J105" s="735"/>
      <c r="K105" s="735"/>
      <c r="L105" s="749">
        <f t="shared" ref="L105:L106" si="65">SUM(I105:K105)</f>
        <v>137</v>
      </c>
      <c r="M105" s="750">
        <f t="shared" ref="M105:M106" si="66">SUM(H105+L105)</f>
        <v>0</v>
      </c>
      <c r="N105" s="739"/>
      <c r="O105" s="750">
        <f t="shared" ref="O105:O106" si="67">SUM(M105+N105)</f>
        <v>0</v>
      </c>
    </row>
    <row r="106" spans="1:16" ht="31.5" x14ac:dyDescent="0.25">
      <c r="A106" s="723"/>
      <c r="B106" s="679" t="s">
        <v>915</v>
      </c>
      <c r="C106" s="762"/>
      <c r="D106" s="763"/>
      <c r="E106" s="763">
        <f>500+2040</f>
        <v>2540</v>
      </c>
      <c r="F106" s="764"/>
      <c r="G106" s="734"/>
      <c r="H106" s="749">
        <f t="shared" si="64"/>
        <v>2540</v>
      </c>
      <c r="I106" s="767"/>
      <c r="J106" s="735"/>
      <c r="K106" s="735"/>
      <c r="L106" s="749">
        <f t="shared" si="65"/>
        <v>0</v>
      </c>
      <c r="M106" s="750">
        <f t="shared" si="66"/>
        <v>2540</v>
      </c>
      <c r="N106" s="739"/>
      <c r="O106" s="750">
        <f t="shared" si="67"/>
        <v>2540</v>
      </c>
    </row>
    <row r="107" spans="1:16" ht="16.5" thickBot="1" x14ac:dyDescent="0.3">
      <c r="A107" s="723"/>
      <c r="B107" s="732" t="s">
        <v>132</v>
      </c>
      <c r="C107" s="762"/>
      <c r="D107" s="763"/>
      <c r="E107" s="763"/>
      <c r="F107" s="764"/>
      <c r="G107" s="734"/>
      <c r="H107" s="749"/>
      <c r="I107" s="746"/>
      <c r="J107" s="735"/>
      <c r="K107" s="735"/>
      <c r="L107" s="749"/>
      <c r="M107" s="750"/>
      <c r="N107" s="739"/>
      <c r="O107" s="750"/>
    </row>
    <row r="108" spans="1:16" ht="17.25" thickTop="1" thickBot="1" x14ac:dyDescent="0.3">
      <c r="A108" s="743"/>
      <c r="B108" s="744" t="s">
        <v>379</v>
      </c>
      <c r="C108" s="745">
        <f>+C101+C105+C106</f>
        <v>191252</v>
      </c>
      <c r="D108" s="745">
        <f t="shared" ref="D108:O108" si="68">+D101+D105+D106</f>
        <v>35223</v>
      </c>
      <c r="E108" s="745">
        <f t="shared" si="68"/>
        <v>58655</v>
      </c>
      <c r="F108" s="745">
        <f t="shared" si="68"/>
        <v>0</v>
      </c>
      <c r="G108" s="745">
        <f t="shared" si="68"/>
        <v>0</v>
      </c>
      <c r="H108" s="745">
        <f t="shared" si="68"/>
        <v>285130</v>
      </c>
      <c r="I108" s="745">
        <f t="shared" si="68"/>
        <v>328</v>
      </c>
      <c r="J108" s="745">
        <f t="shared" si="68"/>
        <v>0</v>
      </c>
      <c r="K108" s="745">
        <f t="shared" si="68"/>
        <v>0</v>
      </c>
      <c r="L108" s="745">
        <f t="shared" si="68"/>
        <v>328</v>
      </c>
      <c r="M108" s="745">
        <f t="shared" si="68"/>
        <v>285458</v>
      </c>
      <c r="N108" s="745">
        <f t="shared" si="68"/>
        <v>0</v>
      </c>
      <c r="O108" s="745">
        <f t="shared" si="68"/>
        <v>285458</v>
      </c>
      <c r="P108" s="650">
        <f>O109+O110</f>
        <v>285458</v>
      </c>
    </row>
    <row r="109" spans="1:16" ht="17.25" thickTop="1" thickBot="1" x14ac:dyDescent="0.3">
      <c r="A109" s="743"/>
      <c r="B109" s="744" t="s">
        <v>378</v>
      </c>
      <c r="C109" s="745">
        <f>+C102+C105+C106</f>
        <v>186931</v>
      </c>
      <c r="D109" s="745">
        <f t="shared" ref="D109:O109" si="69">+D102+D105+D106</f>
        <v>34261</v>
      </c>
      <c r="E109" s="745">
        <f t="shared" si="69"/>
        <v>58425</v>
      </c>
      <c r="F109" s="745">
        <f t="shared" si="69"/>
        <v>0</v>
      </c>
      <c r="G109" s="745">
        <f t="shared" si="69"/>
        <v>0</v>
      </c>
      <c r="H109" s="745">
        <f t="shared" si="69"/>
        <v>279617</v>
      </c>
      <c r="I109" s="745">
        <f t="shared" si="69"/>
        <v>328</v>
      </c>
      <c r="J109" s="745">
        <f t="shared" si="69"/>
        <v>0</v>
      </c>
      <c r="K109" s="745">
        <f t="shared" si="69"/>
        <v>0</v>
      </c>
      <c r="L109" s="745">
        <f t="shared" si="69"/>
        <v>328</v>
      </c>
      <c r="M109" s="745">
        <f t="shared" si="69"/>
        <v>279945</v>
      </c>
      <c r="N109" s="745">
        <f t="shared" si="69"/>
        <v>0</v>
      </c>
      <c r="O109" s="745">
        <f t="shared" si="69"/>
        <v>279945</v>
      </c>
    </row>
    <row r="110" spans="1:16" ht="17.25" thickTop="1" thickBot="1" x14ac:dyDescent="0.3">
      <c r="A110" s="743"/>
      <c r="B110" s="744" t="s">
        <v>377</v>
      </c>
      <c r="C110" s="745">
        <f>+C103</f>
        <v>4321</v>
      </c>
      <c r="D110" s="745">
        <f t="shared" ref="D110:O110" si="70">+D103</f>
        <v>962</v>
      </c>
      <c r="E110" s="745">
        <f t="shared" si="70"/>
        <v>230</v>
      </c>
      <c r="F110" s="745">
        <f t="shared" si="70"/>
        <v>0</v>
      </c>
      <c r="G110" s="745">
        <f t="shared" si="70"/>
        <v>0</v>
      </c>
      <c r="H110" s="745">
        <f t="shared" si="70"/>
        <v>5513</v>
      </c>
      <c r="I110" s="745">
        <f t="shared" si="70"/>
        <v>0</v>
      </c>
      <c r="J110" s="745">
        <f t="shared" si="70"/>
        <v>0</v>
      </c>
      <c r="K110" s="745">
        <f t="shared" si="70"/>
        <v>0</v>
      </c>
      <c r="L110" s="745">
        <f t="shared" si="70"/>
        <v>0</v>
      </c>
      <c r="M110" s="745">
        <f t="shared" si="70"/>
        <v>5513</v>
      </c>
      <c r="N110" s="745">
        <f t="shared" si="70"/>
        <v>0</v>
      </c>
      <c r="O110" s="745">
        <f t="shared" si="70"/>
        <v>5513</v>
      </c>
    </row>
    <row r="111" spans="1:16" ht="16.5" thickTop="1" x14ac:dyDescent="0.25">
      <c r="A111" s="723" t="s">
        <v>0</v>
      </c>
      <c r="B111" s="724" t="s">
        <v>657</v>
      </c>
      <c r="C111" s="725"/>
      <c r="D111" s="726"/>
      <c r="E111" s="726"/>
      <c r="F111" s="742"/>
      <c r="G111" s="726"/>
      <c r="H111" s="728"/>
      <c r="I111" s="729"/>
      <c r="J111" s="727"/>
      <c r="K111" s="727"/>
      <c r="L111" s="728"/>
      <c r="M111" s="728"/>
      <c r="N111" s="728"/>
      <c r="O111" s="728"/>
    </row>
    <row r="112" spans="1:16" x14ac:dyDescent="0.25">
      <c r="A112" s="723"/>
      <c r="B112" s="679" t="s">
        <v>347</v>
      </c>
      <c r="C112" s="725">
        <f>SUM(C113:C114)</f>
        <v>173939</v>
      </c>
      <c r="D112" s="725">
        <f>SUM(D113:D114)</f>
        <v>32476</v>
      </c>
      <c r="E112" s="725">
        <f>SUM(E113:E114)</f>
        <v>48221</v>
      </c>
      <c r="F112" s="725">
        <f t="shared" ref="F112:G112" si="71">SUM(F113:F114)</f>
        <v>0</v>
      </c>
      <c r="G112" s="725">
        <f t="shared" si="71"/>
        <v>0</v>
      </c>
      <c r="H112" s="728">
        <f>SUM(C112:G112)</f>
        <v>254636</v>
      </c>
      <c r="I112" s="729">
        <f>SUM(I113:I114)</f>
        <v>25</v>
      </c>
      <c r="J112" s="727">
        <f t="shared" ref="J112:K112" si="72">SUM(J113:J114)</f>
        <v>0</v>
      </c>
      <c r="K112" s="727">
        <f t="shared" si="72"/>
        <v>0</v>
      </c>
      <c r="L112" s="728">
        <f>SUM(I112:K112)</f>
        <v>25</v>
      </c>
      <c r="M112" s="730">
        <f>SUM(H112+L112)</f>
        <v>254661</v>
      </c>
      <c r="N112" s="730"/>
      <c r="O112" s="730">
        <f>SUM(M112+N112)</f>
        <v>254661</v>
      </c>
    </row>
    <row r="113" spans="1:16" s="740" customFormat="1" x14ac:dyDescent="0.25">
      <c r="A113" s="731"/>
      <c r="B113" s="732" t="s">
        <v>381</v>
      </c>
      <c r="C113" s="733">
        <v>169964</v>
      </c>
      <c r="D113" s="734">
        <v>31562</v>
      </c>
      <c r="E113" s="734">
        <v>48171</v>
      </c>
      <c r="F113" s="735"/>
      <c r="G113" s="734"/>
      <c r="H113" s="736">
        <f>SUM(C113:G113)</f>
        <v>249697</v>
      </c>
      <c r="I113" s="746">
        <v>25</v>
      </c>
      <c r="J113" s="735"/>
      <c r="K113" s="735"/>
      <c r="L113" s="736">
        <f>SUM(I113:K113)</f>
        <v>25</v>
      </c>
      <c r="M113" s="739">
        <f>SUM(H113+L113)</f>
        <v>249722</v>
      </c>
      <c r="N113" s="739"/>
      <c r="O113" s="739">
        <f>SUM(M113+N113)</f>
        <v>249722</v>
      </c>
    </row>
    <row r="114" spans="1:16" s="740" customFormat="1" x14ac:dyDescent="0.25">
      <c r="A114" s="731"/>
      <c r="B114" s="732" t="s">
        <v>380</v>
      </c>
      <c r="C114" s="733">
        <v>3975</v>
      </c>
      <c r="D114" s="734">
        <v>914</v>
      </c>
      <c r="E114" s="734">
        <v>50</v>
      </c>
      <c r="F114" s="735"/>
      <c r="G114" s="734"/>
      <c r="H114" s="736">
        <f>SUM(C114:G114)</f>
        <v>4939</v>
      </c>
      <c r="I114" s="746"/>
      <c r="J114" s="735"/>
      <c r="K114" s="735"/>
      <c r="L114" s="736">
        <f>SUM(I114:K114)</f>
        <v>0</v>
      </c>
      <c r="M114" s="739">
        <f>SUM(H114+L114)</f>
        <v>4939</v>
      </c>
      <c r="N114" s="739"/>
      <c r="O114" s="739">
        <f>SUM(M114+N114)</f>
        <v>4939</v>
      </c>
    </row>
    <row r="115" spans="1:16" s="740" customFormat="1" x14ac:dyDescent="0.25">
      <c r="A115" s="731"/>
      <c r="B115" s="732" t="s">
        <v>131</v>
      </c>
      <c r="C115" s="733"/>
      <c r="D115" s="734"/>
      <c r="E115" s="734"/>
      <c r="F115" s="735"/>
      <c r="G115" s="734"/>
      <c r="H115" s="736"/>
      <c r="I115" s="746"/>
      <c r="J115" s="735"/>
      <c r="K115" s="735"/>
      <c r="L115" s="736"/>
      <c r="M115" s="739"/>
      <c r="N115" s="739"/>
      <c r="O115" s="739"/>
    </row>
    <row r="116" spans="1:16" s="740" customFormat="1" ht="47.25" x14ac:dyDescent="0.25">
      <c r="A116" s="731"/>
      <c r="B116" s="679" t="s">
        <v>1215</v>
      </c>
      <c r="C116" s="762">
        <v>265</v>
      </c>
      <c r="D116" s="763">
        <v>41</v>
      </c>
      <c r="E116" s="763"/>
      <c r="F116" s="735"/>
      <c r="G116" s="734"/>
      <c r="H116" s="749">
        <f t="shared" ref="H116:H119" si="73">SUM(C116:G116)</f>
        <v>306</v>
      </c>
      <c r="I116" s="746"/>
      <c r="J116" s="735"/>
      <c r="K116" s="735"/>
      <c r="L116" s="749">
        <f t="shared" ref="L116:L119" si="74">SUM(I116:K116)</f>
        <v>0</v>
      </c>
      <c r="M116" s="750">
        <f t="shared" ref="M116:M119" si="75">SUM(H116+L116)</f>
        <v>306</v>
      </c>
      <c r="N116" s="739"/>
      <c r="O116" s="750">
        <f t="shared" ref="O116:O119" si="76">SUM(M116+N116)</f>
        <v>306</v>
      </c>
    </row>
    <row r="117" spans="1:16" s="740" customFormat="1" x14ac:dyDescent="0.25">
      <c r="A117" s="731"/>
      <c r="B117" s="679" t="s">
        <v>1217</v>
      </c>
      <c r="C117" s="762">
        <v>106</v>
      </c>
      <c r="D117" s="763">
        <v>16</v>
      </c>
      <c r="E117" s="763"/>
      <c r="F117" s="735"/>
      <c r="G117" s="734"/>
      <c r="H117" s="749">
        <f t="shared" si="73"/>
        <v>122</v>
      </c>
      <c r="I117" s="746"/>
      <c r="J117" s="735"/>
      <c r="K117" s="735"/>
      <c r="L117" s="749">
        <f t="shared" si="74"/>
        <v>0</v>
      </c>
      <c r="M117" s="750">
        <f t="shared" si="75"/>
        <v>122</v>
      </c>
      <c r="N117" s="739"/>
      <c r="O117" s="750">
        <f t="shared" si="76"/>
        <v>122</v>
      </c>
    </row>
    <row r="118" spans="1:16" s="740" customFormat="1" ht="31.5" x14ac:dyDescent="0.25">
      <c r="A118" s="731"/>
      <c r="B118" s="679" t="s">
        <v>564</v>
      </c>
      <c r="C118" s="762"/>
      <c r="D118" s="763"/>
      <c r="E118" s="763">
        <v>-48</v>
      </c>
      <c r="F118" s="735"/>
      <c r="G118" s="734"/>
      <c r="H118" s="749">
        <f t="shared" si="73"/>
        <v>-48</v>
      </c>
      <c r="I118" s="767">
        <v>48</v>
      </c>
      <c r="J118" s="735"/>
      <c r="K118" s="735"/>
      <c r="L118" s="749">
        <f t="shared" si="74"/>
        <v>48</v>
      </c>
      <c r="M118" s="750">
        <f t="shared" si="75"/>
        <v>0</v>
      </c>
      <c r="N118" s="739"/>
      <c r="O118" s="750">
        <f t="shared" si="76"/>
        <v>0</v>
      </c>
    </row>
    <row r="119" spans="1:16" s="740" customFormat="1" ht="31.5" x14ac:dyDescent="0.25">
      <c r="A119" s="731"/>
      <c r="B119" s="679" t="s">
        <v>915</v>
      </c>
      <c r="C119" s="762"/>
      <c r="D119" s="763"/>
      <c r="E119" s="763">
        <v>3026</v>
      </c>
      <c r="F119" s="735"/>
      <c r="G119" s="734"/>
      <c r="H119" s="749">
        <f t="shared" si="73"/>
        <v>3026</v>
      </c>
      <c r="I119" s="746"/>
      <c r="J119" s="735"/>
      <c r="K119" s="735"/>
      <c r="L119" s="749">
        <f t="shared" si="74"/>
        <v>0</v>
      </c>
      <c r="M119" s="750">
        <f t="shared" si="75"/>
        <v>3026</v>
      </c>
      <c r="N119" s="739"/>
      <c r="O119" s="750">
        <f t="shared" si="76"/>
        <v>3026</v>
      </c>
    </row>
    <row r="120" spans="1:16" s="740" customFormat="1" ht="16.5" thickBot="1" x14ac:dyDescent="0.3">
      <c r="A120" s="928"/>
      <c r="B120" s="929" t="s">
        <v>132</v>
      </c>
      <c r="C120" s="930"/>
      <c r="D120" s="931"/>
      <c r="E120" s="931"/>
      <c r="F120" s="932"/>
      <c r="G120" s="933"/>
      <c r="H120" s="934"/>
      <c r="I120" s="935"/>
      <c r="J120" s="932"/>
      <c r="K120" s="932"/>
      <c r="L120" s="934"/>
      <c r="M120" s="934"/>
      <c r="N120" s="936"/>
      <c r="O120" s="934"/>
    </row>
    <row r="121" spans="1:16" ht="17.25" thickTop="1" thickBot="1" x14ac:dyDescent="0.3">
      <c r="A121" s="743"/>
      <c r="B121" s="744" t="s">
        <v>379</v>
      </c>
      <c r="C121" s="745">
        <f>+C112+C116+C117+C118+C119</f>
        <v>174310</v>
      </c>
      <c r="D121" s="745">
        <f t="shared" ref="D121:O121" si="77">+D112+D116+D117+D118+D119</f>
        <v>32533</v>
      </c>
      <c r="E121" s="745">
        <f t="shared" si="77"/>
        <v>51199</v>
      </c>
      <c r="F121" s="745">
        <f t="shared" si="77"/>
        <v>0</v>
      </c>
      <c r="G121" s="745">
        <f t="shared" si="77"/>
        <v>0</v>
      </c>
      <c r="H121" s="745">
        <f t="shared" si="77"/>
        <v>258042</v>
      </c>
      <c r="I121" s="745">
        <f t="shared" si="77"/>
        <v>73</v>
      </c>
      <c r="J121" s="745">
        <f t="shared" si="77"/>
        <v>0</v>
      </c>
      <c r="K121" s="745">
        <f t="shared" si="77"/>
        <v>0</v>
      </c>
      <c r="L121" s="745">
        <f t="shared" si="77"/>
        <v>73</v>
      </c>
      <c r="M121" s="745">
        <f t="shared" si="77"/>
        <v>258115</v>
      </c>
      <c r="N121" s="745">
        <f t="shared" si="77"/>
        <v>0</v>
      </c>
      <c r="O121" s="745">
        <f t="shared" si="77"/>
        <v>258115</v>
      </c>
      <c r="P121" s="650">
        <f>O122+O123</f>
        <v>258115</v>
      </c>
    </row>
    <row r="122" spans="1:16" ht="17.25" thickTop="1" thickBot="1" x14ac:dyDescent="0.3">
      <c r="A122" s="743"/>
      <c r="B122" s="744" t="s">
        <v>378</v>
      </c>
      <c r="C122" s="745">
        <f>+C113+C116+C117+C118+C119</f>
        <v>170335</v>
      </c>
      <c r="D122" s="745">
        <f t="shared" ref="D122:O122" si="78">+D113+D116+D117+D118+D119</f>
        <v>31619</v>
      </c>
      <c r="E122" s="745">
        <f t="shared" si="78"/>
        <v>51149</v>
      </c>
      <c r="F122" s="745">
        <f t="shared" si="78"/>
        <v>0</v>
      </c>
      <c r="G122" s="745">
        <f t="shared" si="78"/>
        <v>0</v>
      </c>
      <c r="H122" s="745">
        <f t="shared" si="78"/>
        <v>253103</v>
      </c>
      <c r="I122" s="745">
        <f t="shared" si="78"/>
        <v>73</v>
      </c>
      <c r="J122" s="745">
        <f t="shared" si="78"/>
        <v>0</v>
      </c>
      <c r="K122" s="745">
        <f t="shared" si="78"/>
        <v>0</v>
      </c>
      <c r="L122" s="745">
        <f t="shared" si="78"/>
        <v>73</v>
      </c>
      <c r="M122" s="745">
        <f t="shared" si="78"/>
        <v>253176</v>
      </c>
      <c r="N122" s="745">
        <f t="shared" si="78"/>
        <v>0</v>
      </c>
      <c r="O122" s="745">
        <f t="shared" si="78"/>
        <v>253176</v>
      </c>
    </row>
    <row r="123" spans="1:16" ht="17.25" thickTop="1" thickBot="1" x14ac:dyDescent="0.3">
      <c r="A123" s="743"/>
      <c r="B123" s="744" t="s">
        <v>377</v>
      </c>
      <c r="C123" s="745">
        <f>+C114</f>
        <v>3975</v>
      </c>
      <c r="D123" s="745">
        <f t="shared" ref="D123:O123" si="79">+D114</f>
        <v>914</v>
      </c>
      <c r="E123" s="745">
        <f t="shared" si="79"/>
        <v>50</v>
      </c>
      <c r="F123" s="745">
        <f t="shared" si="79"/>
        <v>0</v>
      </c>
      <c r="G123" s="745">
        <f t="shared" si="79"/>
        <v>0</v>
      </c>
      <c r="H123" s="745">
        <f t="shared" si="79"/>
        <v>4939</v>
      </c>
      <c r="I123" s="745">
        <f t="shared" si="79"/>
        <v>0</v>
      </c>
      <c r="J123" s="745">
        <f t="shared" si="79"/>
        <v>0</v>
      </c>
      <c r="K123" s="745">
        <f t="shared" si="79"/>
        <v>0</v>
      </c>
      <c r="L123" s="745">
        <f t="shared" si="79"/>
        <v>0</v>
      </c>
      <c r="M123" s="745">
        <f t="shared" si="79"/>
        <v>4939</v>
      </c>
      <c r="N123" s="745">
        <f t="shared" si="79"/>
        <v>0</v>
      </c>
      <c r="O123" s="745">
        <f t="shared" si="79"/>
        <v>4939</v>
      </c>
    </row>
    <row r="124" spans="1:16" ht="32.25" thickTop="1" x14ac:dyDescent="0.25">
      <c r="A124" s="768" t="s">
        <v>1</v>
      </c>
      <c r="B124" s="769" t="s">
        <v>658</v>
      </c>
      <c r="C124" s="770"/>
      <c r="D124" s="771"/>
      <c r="E124" s="771"/>
      <c r="F124" s="772"/>
      <c r="G124" s="771"/>
      <c r="H124" s="773"/>
      <c r="I124" s="774"/>
      <c r="J124" s="772"/>
      <c r="K124" s="772"/>
      <c r="L124" s="773"/>
      <c r="M124" s="773"/>
      <c r="N124" s="773"/>
      <c r="O124" s="773"/>
    </row>
    <row r="125" spans="1:16" x14ac:dyDescent="0.25">
      <c r="A125" s="723"/>
      <c r="B125" s="679" t="s">
        <v>347</v>
      </c>
      <c r="C125" s="725">
        <f>SUM(C126:C127)</f>
        <v>210203</v>
      </c>
      <c r="D125" s="725">
        <f>SUM(D126:D127)</f>
        <v>38208</v>
      </c>
      <c r="E125" s="725">
        <f>SUM(E126:E127)</f>
        <v>76327</v>
      </c>
      <c r="F125" s="727"/>
      <c r="G125" s="726"/>
      <c r="H125" s="728">
        <f>SUM(C125:G125)</f>
        <v>324738</v>
      </c>
      <c r="I125" s="729"/>
      <c r="J125" s="727"/>
      <c r="K125" s="727"/>
      <c r="L125" s="728">
        <f>SUM(I125:K125)</f>
        <v>0</v>
      </c>
      <c r="M125" s="730">
        <f>SUM(H125+L125)</f>
        <v>324738</v>
      </c>
      <c r="N125" s="730"/>
      <c r="O125" s="730">
        <f>SUM(M125+N125)</f>
        <v>324738</v>
      </c>
    </row>
    <row r="126" spans="1:16" s="740" customFormat="1" x14ac:dyDescent="0.25">
      <c r="A126" s="731"/>
      <c r="B126" s="732" t="s">
        <v>381</v>
      </c>
      <c r="C126" s="733">
        <v>205693</v>
      </c>
      <c r="D126" s="734">
        <v>37210</v>
      </c>
      <c r="E126" s="734">
        <v>76312</v>
      </c>
      <c r="F126" s="735"/>
      <c r="G126" s="734"/>
      <c r="H126" s="736">
        <f>SUM(C126:G126)</f>
        <v>319215</v>
      </c>
      <c r="I126" s="746"/>
      <c r="J126" s="735"/>
      <c r="K126" s="735"/>
      <c r="L126" s="736">
        <f>SUM(I126:K126)</f>
        <v>0</v>
      </c>
      <c r="M126" s="739">
        <f>SUM(H126+L126)</f>
        <v>319215</v>
      </c>
      <c r="N126" s="739"/>
      <c r="O126" s="739">
        <f>SUM(M126+N126)</f>
        <v>319215</v>
      </c>
    </row>
    <row r="127" spans="1:16" s="740" customFormat="1" x14ac:dyDescent="0.25">
      <c r="A127" s="731"/>
      <c r="B127" s="732" t="s">
        <v>380</v>
      </c>
      <c r="C127" s="733">
        <v>4510</v>
      </c>
      <c r="D127" s="734">
        <v>998</v>
      </c>
      <c r="E127" s="734">
        <v>15</v>
      </c>
      <c r="F127" s="735"/>
      <c r="G127" s="734"/>
      <c r="H127" s="736">
        <f>SUM(C127:G127)</f>
        <v>5523</v>
      </c>
      <c r="I127" s="746"/>
      <c r="J127" s="735"/>
      <c r="K127" s="735"/>
      <c r="L127" s="736">
        <f>SUM(I127:K127)</f>
        <v>0</v>
      </c>
      <c r="M127" s="739">
        <f>SUM(H127+L127)</f>
        <v>5523</v>
      </c>
      <c r="N127" s="739"/>
      <c r="O127" s="739">
        <f>SUM(M127+N127)</f>
        <v>5523</v>
      </c>
    </row>
    <row r="128" spans="1:16" s="740" customFormat="1" x14ac:dyDescent="0.25">
      <c r="A128" s="731"/>
      <c r="B128" s="732" t="s">
        <v>131</v>
      </c>
      <c r="C128" s="733"/>
      <c r="D128" s="734"/>
      <c r="E128" s="734"/>
      <c r="F128" s="735"/>
      <c r="G128" s="734"/>
      <c r="H128" s="736"/>
      <c r="I128" s="746"/>
      <c r="J128" s="735"/>
      <c r="K128" s="735"/>
      <c r="L128" s="736"/>
      <c r="M128" s="739"/>
      <c r="N128" s="739"/>
      <c r="O128" s="739"/>
    </row>
    <row r="129" spans="1:16" s="740" customFormat="1" ht="47.25" x14ac:dyDescent="0.25">
      <c r="A129" s="731"/>
      <c r="B129" s="679" t="s">
        <v>1215</v>
      </c>
      <c r="C129" s="762">
        <v>647</v>
      </c>
      <c r="D129" s="763">
        <v>101</v>
      </c>
      <c r="E129" s="763"/>
      <c r="F129" s="735"/>
      <c r="G129" s="734"/>
      <c r="H129" s="749">
        <f t="shared" ref="H129:H132" si="80">SUM(C129:G129)</f>
        <v>748</v>
      </c>
      <c r="I129" s="746"/>
      <c r="J129" s="735"/>
      <c r="K129" s="735"/>
      <c r="L129" s="749">
        <f t="shared" ref="L129:L132" si="81">SUM(I129:K129)</f>
        <v>0</v>
      </c>
      <c r="M129" s="750">
        <f t="shared" ref="M129:M132" si="82">SUM(H129+L129)</f>
        <v>748</v>
      </c>
      <c r="N129" s="739"/>
      <c r="O129" s="750">
        <f t="shared" ref="O129:O132" si="83">SUM(M129+N129)</f>
        <v>748</v>
      </c>
    </row>
    <row r="130" spans="1:16" s="740" customFormat="1" x14ac:dyDescent="0.25">
      <c r="A130" s="731"/>
      <c r="B130" s="679" t="s">
        <v>1217</v>
      </c>
      <c r="C130" s="762">
        <v>211</v>
      </c>
      <c r="D130" s="763">
        <v>33</v>
      </c>
      <c r="E130" s="763"/>
      <c r="F130" s="735"/>
      <c r="G130" s="734"/>
      <c r="H130" s="749">
        <f t="shared" si="80"/>
        <v>244</v>
      </c>
      <c r="I130" s="746"/>
      <c r="J130" s="735"/>
      <c r="K130" s="735"/>
      <c r="L130" s="749">
        <f t="shared" si="81"/>
        <v>0</v>
      </c>
      <c r="M130" s="750">
        <f t="shared" si="82"/>
        <v>244</v>
      </c>
      <c r="N130" s="739"/>
      <c r="O130" s="750">
        <f t="shared" si="83"/>
        <v>244</v>
      </c>
    </row>
    <row r="131" spans="1:16" s="740" customFormat="1" ht="31.5" x14ac:dyDescent="0.25">
      <c r="A131" s="731"/>
      <c r="B131" s="679" t="s">
        <v>564</v>
      </c>
      <c r="C131" s="762"/>
      <c r="D131" s="763"/>
      <c r="E131" s="763">
        <v>-80</v>
      </c>
      <c r="F131" s="735"/>
      <c r="G131" s="734"/>
      <c r="H131" s="749">
        <f t="shared" si="80"/>
        <v>-80</v>
      </c>
      <c r="I131" s="767">
        <v>80</v>
      </c>
      <c r="J131" s="735"/>
      <c r="K131" s="735"/>
      <c r="L131" s="749">
        <f t="shared" si="81"/>
        <v>80</v>
      </c>
      <c r="M131" s="750">
        <f t="shared" si="82"/>
        <v>0</v>
      </c>
      <c r="N131" s="739"/>
      <c r="O131" s="750">
        <f t="shared" si="83"/>
        <v>0</v>
      </c>
    </row>
    <row r="132" spans="1:16" s="740" customFormat="1" ht="31.5" x14ac:dyDescent="0.25">
      <c r="A132" s="731"/>
      <c r="B132" s="679" t="s">
        <v>915</v>
      </c>
      <c r="C132" s="762"/>
      <c r="D132" s="763"/>
      <c r="E132" s="763">
        <v>2010</v>
      </c>
      <c r="F132" s="735"/>
      <c r="G132" s="734"/>
      <c r="H132" s="749">
        <f t="shared" si="80"/>
        <v>2010</v>
      </c>
      <c r="I132" s="746"/>
      <c r="J132" s="735"/>
      <c r="K132" s="735"/>
      <c r="L132" s="749">
        <f t="shared" si="81"/>
        <v>0</v>
      </c>
      <c r="M132" s="750">
        <f t="shared" si="82"/>
        <v>2010</v>
      </c>
      <c r="N132" s="739"/>
      <c r="O132" s="750">
        <f t="shared" si="83"/>
        <v>2010</v>
      </c>
    </row>
    <row r="133" spans="1:16" s="740" customFormat="1" ht="16.5" thickBot="1" x14ac:dyDescent="0.3">
      <c r="A133" s="731"/>
      <c r="B133" s="732" t="s">
        <v>132</v>
      </c>
      <c r="C133" s="762"/>
      <c r="D133" s="763"/>
      <c r="E133" s="763"/>
      <c r="F133" s="735"/>
      <c r="G133" s="734"/>
      <c r="H133" s="749"/>
      <c r="I133" s="746"/>
      <c r="J133" s="735"/>
      <c r="K133" s="735"/>
      <c r="L133" s="749"/>
      <c r="M133" s="750"/>
      <c r="N133" s="739"/>
      <c r="O133" s="750"/>
    </row>
    <row r="134" spans="1:16" ht="17.25" thickTop="1" thickBot="1" x14ac:dyDescent="0.3">
      <c r="A134" s="743"/>
      <c r="B134" s="744" t="s">
        <v>379</v>
      </c>
      <c r="C134" s="745">
        <f>+C125+C129+C130+C131+C132</f>
        <v>211061</v>
      </c>
      <c r="D134" s="745">
        <f t="shared" ref="D134:O134" si="84">+D125+D129+D130+D131+D132</f>
        <v>38342</v>
      </c>
      <c r="E134" s="745">
        <f t="shared" si="84"/>
        <v>78257</v>
      </c>
      <c r="F134" s="745">
        <f t="shared" si="84"/>
        <v>0</v>
      </c>
      <c r="G134" s="745">
        <f t="shared" si="84"/>
        <v>0</v>
      </c>
      <c r="H134" s="745">
        <f t="shared" si="84"/>
        <v>327660</v>
      </c>
      <c r="I134" s="745">
        <f t="shared" si="84"/>
        <v>80</v>
      </c>
      <c r="J134" s="745">
        <f t="shared" si="84"/>
        <v>0</v>
      </c>
      <c r="K134" s="745">
        <f t="shared" si="84"/>
        <v>0</v>
      </c>
      <c r="L134" s="745">
        <f t="shared" si="84"/>
        <v>80</v>
      </c>
      <c r="M134" s="745">
        <f t="shared" si="84"/>
        <v>327740</v>
      </c>
      <c r="N134" s="745">
        <f t="shared" si="84"/>
        <v>0</v>
      </c>
      <c r="O134" s="745">
        <f t="shared" si="84"/>
        <v>327740</v>
      </c>
      <c r="P134" s="650">
        <f>O135+O136</f>
        <v>327740</v>
      </c>
    </row>
    <row r="135" spans="1:16" ht="17.25" thickTop="1" thickBot="1" x14ac:dyDescent="0.3">
      <c r="A135" s="743"/>
      <c r="B135" s="744" t="s">
        <v>378</v>
      </c>
      <c r="C135" s="745">
        <f>+C126+C129+C130+C131+C132</f>
        <v>206551</v>
      </c>
      <c r="D135" s="745">
        <f t="shared" ref="D135:O135" si="85">+D126+D129+D130+D131+D132</f>
        <v>37344</v>
      </c>
      <c r="E135" s="745">
        <f t="shared" si="85"/>
        <v>78242</v>
      </c>
      <c r="F135" s="745">
        <f t="shared" si="85"/>
        <v>0</v>
      </c>
      <c r="G135" s="745">
        <f t="shared" si="85"/>
        <v>0</v>
      </c>
      <c r="H135" s="745">
        <f t="shared" si="85"/>
        <v>322137</v>
      </c>
      <c r="I135" s="745">
        <f t="shared" si="85"/>
        <v>80</v>
      </c>
      <c r="J135" s="745">
        <f t="shared" si="85"/>
        <v>0</v>
      </c>
      <c r="K135" s="745">
        <f t="shared" si="85"/>
        <v>0</v>
      </c>
      <c r="L135" s="745">
        <f t="shared" si="85"/>
        <v>80</v>
      </c>
      <c r="M135" s="745">
        <f t="shared" si="85"/>
        <v>322217</v>
      </c>
      <c r="N135" s="745">
        <f t="shared" si="85"/>
        <v>0</v>
      </c>
      <c r="O135" s="745">
        <f t="shared" si="85"/>
        <v>322217</v>
      </c>
    </row>
    <row r="136" spans="1:16" ht="17.25" thickTop="1" thickBot="1" x14ac:dyDescent="0.3">
      <c r="A136" s="743"/>
      <c r="B136" s="744" t="s">
        <v>377</v>
      </c>
      <c r="C136" s="745">
        <f>+C127</f>
        <v>4510</v>
      </c>
      <c r="D136" s="745">
        <f t="shared" ref="D136:O136" si="86">+D127</f>
        <v>998</v>
      </c>
      <c r="E136" s="745">
        <f t="shared" si="86"/>
        <v>15</v>
      </c>
      <c r="F136" s="745">
        <f t="shared" si="86"/>
        <v>0</v>
      </c>
      <c r="G136" s="745">
        <f t="shared" si="86"/>
        <v>0</v>
      </c>
      <c r="H136" s="745">
        <f t="shared" si="86"/>
        <v>5523</v>
      </c>
      <c r="I136" s="745">
        <f t="shared" si="86"/>
        <v>0</v>
      </c>
      <c r="J136" s="745">
        <f t="shared" si="86"/>
        <v>0</v>
      </c>
      <c r="K136" s="745">
        <f t="shared" si="86"/>
        <v>0</v>
      </c>
      <c r="L136" s="745">
        <f t="shared" si="86"/>
        <v>0</v>
      </c>
      <c r="M136" s="745">
        <f t="shared" si="86"/>
        <v>5523</v>
      </c>
      <c r="N136" s="745">
        <f t="shared" si="86"/>
        <v>0</v>
      </c>
      <c r="O136" s="745">
        <f t="shared" si="86"/>
        <v>5523</v>
      </c>
    </row>
    <row r="137" spans="1:16" ht="16.5" thickTop="1" x14ac:dyDescent="0.25">
      <c r="A137" s="723" t="s">
        <v>2</v>
      </c>
      <c r="B137" s="724" t="s">
        <v>402</v>
      </c>
      <c r="C137" s="725"/>
      <c r="D137" s="726"/>
      <c r="E137" s="726"/>
      <c r="F137" s="742"/>
      <c r="G137" s="726"/>
      <c r="H137" s="728"/>
      <c r="I137" s="729"/>
      <c r="J137" s="727"/>
      <c r="K137" s="727"/>
      <c r="L137" s="728"/>
      <c r="M137" s="728"/>
      <c r="N137" s="728"/>
      <c r="O137" s="728"/>
    </row>
    <row r="138" spans="1:16" x14ac:dyDescent="0.25">
      <c r="A138" s="747"/>
      <c r="B138" s="724" t="s">
        <v>347</v>
      </c>
      <c r="C138" s="725">
        <f>SUM(C139:C140)</f>
        <v>132236</v>
      </c>
      <c r="D138" s="725">
        <f>SUM(D139:D140)</f>
        <v>24086</v>
      </c>
      <c r="E138" s="725">
        <f>SUM(E139:E140)</f>
        <v>46881</v>
      </c>
      <c r="F138" s="727"/>
      <c r="G138" s="726">
        <v>39</v>
      </c>
      <c r="H138" s="728">
        <f>SUM(C138:G138)</f>
        <v>203242</v>
      </c>
      <c r="I138" s="729"/>
      <c r="J138" s="727"/>
      <c r="K138" s="727"/>
      <c r="L138" s="728">
        <f>SUM(I138:K138)</f>
        <v>0</v>
      </c>
      <c r="M138" s="730">
        <f>SUM(H138+L138)</f>
        <v>203242</v>
      </c>
      <c r="N138" s="730"/>
      <c r="O138" s="730">
        <f>SUM(M138+N138)</f>
        <v>203242</v>
      </c>
    </row>
    <row r="139" spans="1:16" s="740" customFormat="1" x14ac:dyDescent="0.25">
      <c r="A139" s="775"/>
      <c r="B139" s="732" t="s">
        <v>381</v>
      </c>
      <c r="C139" s="733">
        <v>129439</v>
      </c>
      <c r="D139" s="734">
        <v>23458</v>
      </c>
      <c r="E139" s="734">
        <v>46616</v>
      </c>
      <c r="F139" s="735"/>
      <c r="G139" s="734">
        <v>39</v>
      </c>
      <c r="H139" s="736">
        <f>SUM(C139:G139)</f>
        <v>199552</v>
      </c>
      <c r="I139" s="746"/>
      <c r="J139" s="735"/>
      <c r="K139" s="735"/>
      <c r="L139" s="736">
        <f>SUM(I139:K139)</f>
        <v>0</v>
      </c>
      <c r="M139" s="739">
        <f>SUM(H139+L139)</f>
        <v>199552</v>
      </c>
      <c r="N139" s="739"/>
      <c r="O139" s="739">
        <f>SUM(M139+N139)</f>
        <v>199552</v>
      </c>
    </row>
    <row r="140" spans="1:16" s="740" customFormat="1" x14ac:dyDescent="0.25">
      <c r="A140" s="775"/>
      <c r="B140" s="732" t="s">
        <v>380</v>
      </c>
      <c r="C140" s="733">
        <v>2797</v>
      </c>
      <c r="D140" s="734">
        <v>628</v>
      </c>
      <c r="E140" s="734">
        <v>265</v>
      </c>
      <c r="F140" s="735"/>
      <c r="G140" s="734"/>
      <c r="H140" s="736">
        <f>SUM(C140:G140)</f>
        <v>3690</v>
      </c>
      <c r="I140" s="746"/>
      <c r="J140" s="735"/>
      <c r="K140" s="735"/>
      <c r="L140" s="736">
        <f>SUM(I140:K140)</f>
        <v>0</v>
      </c>
      <c r="M140" s="739">
        <f>SUM(H140+L140)</f>
        <v>3690</v>
      </c>
      <c r="N140" s="739"/>
      <c r="O140" s="739">
        <f>SUM(M140+N140)</f>
        <v>3690</v>
      </c>
    </row>
    <row r="141" spans="1:16" x14ac:dyDescent="0.25">
      <c r="A141" s="747"/>
      <c r="B141" s="748" t="s">
        <v>131</v>
      </c>
      <c r="C141" s="725"/>
      <c r="D141" s="726"/>
      <c r="E141" s="726"/>
      <c r="F141" s="727"/>
      <c r="G141" s="726"/>
      <c r="H141" s="736"/>
      <c r="I141" s="729"/>
      <c r="J141" s="727"/>
      <c r="K141" s="727"/>
      <c r="L141" s="736"/>
      <c r="M141" s="739"/>
      <c r="N141" s="730"/>
      <c r="O141" s="739"/>
    </row>
    <row r="142" spans="1:16" ht="31.5" x14ac:dyDescent="0.25">
      <c r="A142" s="747"/>
      <c r="B142" s="679" t="s">
        <v>564</v>
      </c>
      <c r="C142" s="762"/>
      <c r="D142" s="763">
        <v>192</v>
      </c>
      <c r="E142" s="763">
        <f>-130-192</f>
        <v>-322</v>
      </c>
      <c r="F142" s="764"/>
      <c r="G142" s="763"/>
      <c r="H142" s="749">
        <f t="shared" ref="H142:H143" si="87">SUM(C142:G142)</f>
        <v>-130</v>
      </c>
      <c r="I142" s="767">
        <v>130</v>
      </c>
      <c r="J142" s="764"/>
      <c r="K142" s="764"/>
      <c r="L142" s="749">
        <f t="shared" ref="L142:L143" si="88">SUM(I142:K142)</f>
        <v>130</v>
      </c>
      <c r="M142" s="750">
        <f t="shared" ref="M142:M143" si="89">SUM(H142+L142)</f>
        <v>0</v>
      </c>
      <c r="N142" s="750"/>
      <c r="O142" s="750">
        <f t="shared" ref="O142:O143" si="90">SUM(M142+N142)</f>
        <v>0</v>
      </c>
    </row>
    <row r="143" spans="1:16" ht="31.5" x14ac:dyDescent="0.25">
      <c r="A143" s="747"/>
      <c r="B143" s="679" t="s">
        <v>915</v>
      </c>
      <c r="C143" s="762"/>
      <c r="D143" s="763"/>
      <c r="E143" s="763">
        <v>2360</v>
      </c>
      <c r="F143" s="764"/>
      <c r="G143" s="763"/>
      <c r="H143" s="749">
        <f t="shared" si="87"/>
        <v>2360</v>
      </c>
      <c r="I143" s="767"/>
      <c r="J143" s="764"/>
      <c r="K143" s="764"/>
      <c r="L143" s="749">
        <f t="shared" si="88"/>
        <v>0</v>
      </c>
      <c r="M143" s="750">
        <f t="shared" si="89"/>
        <v>2360</v>
      </c>
      <c r="N143" s="750"/>
      <c r="O143" s="750">
        <f t="shared" si="90"/>
        <v>2360</v>
      </c>
    </row>
    <row r="144" spans="1:16" ht="16.5" thickBot="1" x14ac:dyDescent="0.3">
      <c r="A144" s="747"/>
      <c r="B144" s="684" t="s">
        <v>132</v>
      </c>
      <c r="C144" s="762"/>
      <c r="D144" s="763"/>
      <c r="E144" s="763"/>
      <c r="F144" s="764"/>
      <c r="G144" s="763"/>
      <c r="H144" s="749"/>
      <c r="I144" s="767"/>
      <c r="J144" s="764"/>
      <c r="K144" s="764"/>
      <c r="L144" s="749"/>
      <c r="M144" s="749"/>
      <c r="N144" s="749"/>
      <c r="O144" s="750"/>
    </row>
    <row r="145" spans="1:16" ht="17.25" thickTop="1" thickBot="1" x14ac:dyDescent="0.3">
      <c r="A145" s="743"/>
      <c r="B145" s="744" t="s">
        <v>379</v>
      </c>
      <c r="C145" s="745">
        <f>+C138+C142+C143</f>
        <v>132236</v>
      </c>
      <c r="D145" s="745">
        <f t="shared" ref="D145:O145" si="91">+D138+D142+D143</f>
        <v>24278</v>
      </c>
      <c r="E145" s="745">
        <f t="shared" si="91"/>
        <v>48919</v>
      </c>
      <c r="F145" s="745">
        <f t="shared" si="91"/>
        <v>0</v>
      </c>
      <c r="G145" s="745">
        <f t="shared" si="91"/>
        <v>39</v>
      </c>
      <c r="H145" s="745">
        <f t="shared" si="91"/>
        <v>205472</v>
      </c>
      <c r="I145" s="745">
        <f t="shared" si="91"/>
        <v>130</v>
      </c>
      <c r="J145" s="745">
        <f t="shared" si="91"/>
        <v>0</v>
      </c>
      <c r="K145" s="745">
        <f t="shared" si="91"/>
        <v>0</v>
      </c>
      <c r="L145" s="745">
        <f t="shared" si="91"/>
        <v>130</v>
      </c>
      <c r="M145" s="745">
        <f t="shared" si="91"/>
        <v>205602</v>
      </c>
      <c r="N145" s="745">
        <f t="shared" si="91"/>
        <v>0</v>
      </c>
      <c r="O145" s="745">
        <f t="shared" si="91"/>
        <v>205602</v>
      </c>
      <c r="P145" s="650">
        <f>O146+O147</f>
        <v>205602</v>
      </c>
    </row>
    <row r="146" spans="1:16" ht="17.25" thickTop="1" thickBot="1" x14ac:dyDescent="0.3">
      <c r="A146" s="743"/>
      <c r="B146" s="744" t="s">
        <v>378</v>
      </c>
      <c r="C146" s="745">
        <f>+C139+C142+C143</f>
        <v>129439</v>
      </c>
      <c r="D146" s="745">
        <f t="shared" ref="D146:O146" si="92">+D139+D142+D143</f>
        <v>23650</v>
      </c>
      <c r="E146" s="745">
        <f t="shared" si="92"/>
        <v>48654</v>
      </c>
      <c r="F146" s="745">
        <f t="shared" si="92"/>
        <v>0</v>
      </c>
      <c r="G146" s="745">
        <f t="shared" si="92"/>
        <v>39</v>
      </c>
      <c r="H146" s="745">
        <f t="shared" si="92"/>
        <v>201782</v>
      </c>
      <c r="I146" s="745">
        <f t="shared" si="92"/>
        <v>130</v>
      </c>
      <c r="J146" s="745">
        <f t="shared" si="92"/>
        <v>0</v>
      </c>
      <c r="K146" s="745">
        <f t="shared" si="92"/>
        <v>0</v>
      </c>
      <c r="L146" s="745">
        <f t="shared" si="92"/>
        <v>130</v>
      </c>
      <c r="M146" s="745">
        <f t="shared" si="92"/>
        <v>201912</v>
      </c>
      <c r="N146" s="745">
        <f t="shared" si="92"/>
        <v>0</v>
      </c>
      <c r="O146" s="745">
        <f t="shared" si="92"/>
        <v>201912</v>
      </c>
    </row>
    <row r="147" spans="1:16" ht="17.25" thickTop="1" thickBot="1" x14ac:dyDescent="0.3">
      <c r="A147" s="743"/>
      <c r="B147" s="744" t="s">
        <v>377</v>
      </c>
      <c r="C147" s="745">
        <f>+C140</f>
        <v>2797</v>
      </c>
      <c r="D147" s="745">
        <f t="shared" ref="D147:O147" si="93">+D140</f>
        <v>628</v>
      </c>
      <c r="E147" s="745">
        <f t="shared" si="93"/>
        <v>265</v>
      </c>
      <c r="F147" s="745">
        <f t="shared" si="93"/>
        <v>0</v>
      </c>
      <c r="G147" s="745">
        <f t="shared" si="93"/>
        <v>0</v>
      </c>
      <c r="H147" s="745">
        <f t="shared" si="93"/>
        <v>3690</v>
      </c>
      <c r="I147" s="745">
        <f t="shared" si="93"/>
        <v>0</v>
      </c>
      <c r="J147" s="745">
        <f t="shared" si="93"/>
        <v>0</v>
      </c>
      <c r="K147" s="745">
        <f t="shared" si="93"/>
        <v>0</v>
      </c>
      <c r="L147" s="745">
        <f t="shared" si="93"/>
        <v>0</v>
      </c>
      <c r="M147" s="745">
        <f t="shared" si="93"/>
        <v>3690</v>
      </c>
      <c r="N147" s="745">
        <f t="shared" si="93"/>
        <v>0</v>
      </c>
      <c r="O147" s="745">
        <f t="shared" si="93"/>
        <v>3690</v>
      </c>
    </row>
    <row r="148" spans="1:16" ht="16.5" thickTop="1" x14ac:dyDescent="0.25">
      <c r="A148" s="723" t="s">
        <v>3</v>
      </c>
      <c r="B148" s="724" t="s">
        <v>401</v>
      </c>
      <c r="C148" s="725"/>
      <c r="D148" s="726"/>
      <c r="E148" s="726"/>
      <c r="F148" s="742"/>
      <c r="G148" s="726"/>
      <c r="H148" s="728"/>
      <c r="I148" s="729"/>
      <c r="J148" s="727"/>
      <c r="K148" s="727"/>
      <c r="L148" s="728"/>
      <c r="M148" s="728"/>
      <c r="N148" s="728"/>
      <c r="O148" s="728"/>
    </row>
    <row r="149" spans="1:16" x14ac:dyDescent="0.25">
      <c r="A149" s="723"/>
      <c r="B149" s="679" t="s">
        <v>347</v>
      </c>
      <c r="C149" s="725">
        <f>SUM(C150:C151)</f>
        <v>168719</v>
      </c>
      <c r="D149" s="725">
        <f>SUM(D150:D151)</f>
        <v>30701</v>
      </c>
      <c r="E149" s="725">
        <f>SUM(E150:E151)</f>
        <v>52416</v>
      </c>
      <c r="F149" s="727"/>
      <c r="G149" s="726"/>
      <c r="H149" s="728">
        <f>SUM(C149:G149)</f>
        <v>251836</v>
      </c>
      <c r="I149" s="729">
        <v>826</v>
      </c>
      <c r="J149" s="727"/>
      <c r="K149" s="727"/>
      <c r="L149" s="728">
        <f>SUM(I149:K149)</f>
        <v>826</v>
      </c>
      <c r="M149" s="730">
        <f>SUM(H149+L149)</f>
        <v>252662</v>
      </c>
      <c r="N149" s="730"/>
      <c r="O149" s="730">
        <f>SUM(M149+N149)</f>
        <v>252662</v>
      </c>
    </row>
    <row r="150" spans="1:16" s="740" customFormat="1" x14ac:dyDescent="0.25">
      <c r="A150" s="731"/>
      <c r="B150" s="732" t="s">
        <v>381</v>
      </c>
      <c r="C150" s="733">
        <v>165009</v>
      </c>
      <c r="D150" s="734">
        <v>29875</v>
      </c>
      <c r="E150" s="734">
        <v>52211</v>
      </c>
      <c r="F150" s="735"/>
      <c r="G150" s="734"/>
      <c r="H150" s="736">
        <f>SUM(C150:G150)</f>
        <v>247095</v>
      </c>
      <c r="I150" s="746">
        <v>826</v>
      </c>
      <c r="J150" s="735"/>
      <c r="K150" s="735"/>
      <c r="L150" s="736">
        <f>SUM(I150:K150)</f>
        <v>826</v>
      </c>
      <c r="M150" s="739">
        <f>SUM(H150+L150)</f>
        <v>247921</v>
      </c>
      <c r="N150" s="739"/>
      <c r="O150" s="739">
        <f>SUM(M150+N150)</f>
        <v>247921</v>
      </c>
    </row>
    <row r="151" spans="1:16" s="740" customFormat="1" x14ac:dyDescent="0.25">
      <c r="A151" s="731"/>
      <c r="B151" s="732" t="s">
        <v>380</v>
      </c>
      <c r="C151" s="733">
        <v>3710</v>
      </c>
      <c r="D151" s="734">
        <v>826</v>
      </c>
      <c r="E151" s="734">
        <v>205</v>
      </c>
      <c r="F151" s="735"/>
      <c r="G151" s="734"/>
      <c r="H151" s="736">
        <f>SUM(C151:G151)</f>
        <v>4741</v>
      </c>
      <c r="I151" s="746"/>
      <c r="J151" s="735"/>
      <c r="K151" s="735"/>
      <c r="L151" s="736">
        <f>SUM(I151:K151)</f>
        <v>0</v>
      </c>
      <c r="M151" s="739">
        <f>SUM(H151+L151)</f>
        <v>4741</v>
      </c>
      <c r="N151" s="739"/>
      <c r="O151" s="739">
        <f>SUM(M151+N151)</f>
        <v>4741</v>
      </c>
    </row>
    <row r="152" spans="1:16" s="740" customFormat="1" x14ac:dyDescent="0.25">
      <c r="A152" s="731"/>
      <c r="B152" s="732" t="s">
        <v>131</v>
      </c>
      <c r="C152" s="733"/>
      <c r="D152" s="734"/>
      <c r="E152" s="734"/>
      <c r="F152" s="735"/>
      <c r="G152" s="734"/>
      <c r="H152" s="736"/>
      <c r="I152" s="746"/>
      <c r="J152" s="735"/>
      <c r="K152" s="735"/>
      <c r="L152" s="736"/>
      <c r="M152" s="739"/>
      <c r="N152" s="739"/>
      <c r="O152" s="739"/>
    </row>
    <row r="153" spans="1:16" s="740" customFormat="1" ht="47.25" x14ac:dyDescent="0.25">
      <c r="A153" s="731"/>
      <c r="B153" s="679" t="s">
        <v>1215</v>
      </c>
      <c r="C153" s="762">
        <v>312</v>
      </c>
      <c r="D153" s="763">
        <v>48</v>
      </c>
      <c r="E153" s="763"/>
      <c r="F153" s="764"/>
      <c r="G153" s="734"/>
      <c r="H153" s="749">
        <f t="shared" ref="H153:H154" si="94">SUM(C153:G153)</f>
        <v>360</v>
      </c>
      <c r="I153" s="746"/>
      <c r="J153" s="735"/>
      <c r="K153" s="735"/>
      <c r="L153" s="749">
        <f t="shared" ref="L153:L154" si="95">SUM(I153:K153)</f>
        <v>0</v>
      </c>
      <c r="M153" s="750">
        <f t="shared" ref="M153:M154" si="96">SUM(H153+L153)</f>
        <v>360</v>
      </c>
      <c r="N153" s="739"/>
      <c r="O153" s="750">
        <f t="shared" ref="O153:O154" si="97">SUM(M153+N153)</f>
        <v>360</v>
      </c>
    </row>
    <row r="154" spans="1:16" s="740" customFormat="1" ht="31.5" x14ac:dyDescent="0.25">
      <c r="A154" s="731"/>
      <c r="B154" s="679" t="s">
        <v>915</v>
      </c>
      <c r="C154" s="762"/>
      <c r="D154" s="763"/>
      <c r="E154" s="763">
        <v>1109</v>
      </c>
      <c r="F154" s="764"/>
      <c r="G154" s="734"/>
      <c r="H154" s="749">
        <f t="shared" si="94"/>
        <v>1109</v>
      </c>
      <c r="I154" s="767"/>
      <c r="J154" s="735"/>
      <c r="K154" s="735"/>
      <c r="L154" s="749">
        <f t="shared" si="95"/>
        <v>0</v>
      </c>
      <c r="M154" s="750">
        <f t="shared" si="96"/>
        <v>1109</v>
      </c>
      <c r="N154" s="739"/>
      <c r="O154" s="750">
        <f t="shared" si="97"/>
        <v>1109</v>
      </c>
    </row>
    <row r="155" spans="1:16" s="740" customFormat="1" x14ac:dyDescent="0.25">
      <c r="A155" s="731"/>
      <c r="B155" s="732" t="s">
        <v>132</v>
      </c>
      <c r="C155" s="762"/>
      <c r="D155" s="763"/>
      <c r="E155" s="763"/>
      <c r="F155" s="764"/>
      <c r="G155" s="734"/>
      <c r="H155" s="749"/>
      <c r="I155" s="746"/>
      <c r="J155" s="735"/>
      <c r="K155" s="735"/>
      <c r="L155" s="749"/>
      <c r="M155" s="750"/>
      <c r="N155" s="739"/>
      <c r="O155" s="750"/>
    </row>
    <row r="156" spans="1:16" s="740" customFormat="1" ht="32.25" thickBot="1" x14ac:dyDescent="0.3">
      <c r="A156" s="731"/>
      <c r="B156" s="679" t="s">
        <v>1218</v>
      </c>
      <c r="C156" s="762"/>
      <c r="D156" s="763"/>
      <c r="E156" s="763">
        <v>-60</v>
      </c>
      <c r="F156" s="764"/>
      <c r="G156" s="734"/>
      <c r="H156" s="749">
        <f>SUM(C156:G156)</f>
        <v>-60</v>
      </c>
      <c r="I156" s="767"/>
      <c r="J156" s="735"/>
      <c r="K156" s="735"/>
      <c r="L156" s="749">
        <f>SUM(I156:K156)</f>
        <v>0</v>
      </c>
      <c r="M156" s="750">
        <f>SUM(H156+L156)</f>
        <v>-60</v>
      </c>
      <c r="N156" s="739"/>
      <c r="O156" s="750">
        <f>SUM(M156+N156)</f>
        <v>-60</v>
      </c>
    </row>
    <row r="157" spans="1:16" ht="17.25" thickTop="1" thickBot="1" x14ac:dyDescent="0.3">
      <c r="A157" s="743"/>
      <c r="B157" s="744" t="s">
        <v>379</v>
      </c>
      <c r="C157" s="745">
        <f>+C149+C153+C156+C154</f>
        <v>169031</v>
      </c>
      <c r="D157" s="745">
        <f t="shared" ref="D157:O157" si="98">+D149+D153+D156+D154</f>
        <v>30749</v>
      </c>
      <c r="E157" s="745">
        <f t="shared" si="98"/>
        <v>53465</v>
      </c>
      <c r="F157" s="745">
        <f t="shared" si="98"/>
        <v>0</v>
      </c>
      <c r="G157" s="745">
        <f t="shared" si="98"/>
        <v>0</v>
      </c>
      <c r="H157" s="745">
        <f t="shared" si="98"/>
        <v>253245</v>
      </c>
      <c r="I157" s="745">
        <f t="shared" si="98"/>
        <v>826</v>
      </c>
      <c r="J157" s="745">
        <f t="shared" si="98"/>
        <v>0</v>
      </c>
      <c r="K157" s="745">
        <f t="shared" si="98"/>
        <v>0</v>
      </c>
      <c r="L157" s="745">
        <f t="shared" si="98"/>
        <v>826</v>
      </c>
      <c r="M157" s="745">
        <f t="shared" si="98"/>
        <v>254071</v>
      </c>
      <c r="N157" s="745">
        <f t="shared" si="98"/>
        <v>0</v>
      </c>
      <c r="O157" s="745">
        <f t="shared" si="98"/>
        <v>254071</v>
      </c>
      <c r="P157" s="650">
        <f>O158+O159</f>
        <v>254071</v>
      </c>
    </row>
    <row r="158" spans="1:16" ht="17.25" thickTop="1" thickBot="1" x14ac:dyDescent="0.3">
      <c r="A158" s="743"/>
      <c r="B158" s="744" t="s">
        <v>378</v>
      </c>
      <c r="C158" s="745">
        <f>+C150+C153+C154</f>
        <v>165321</v>
      </c>
      <c r="D158" s="745">
        <f t="shared" ref="D158:O158" si="99">+D150+D153+D154</f>
        <v>29923</v>
      </c>
      <c r="E158" s="745">
        <f t="shared" si="99"/>
        <v>53320</v>
      </c>
      <c r="F158" s="745">
        <f t="shared" si="99"/>
        <v>0</v>
      </c>
      <c r="G158" s="745">
        <f t="shared" si="99"/>
        <v>0</v>
      </c>
      <c r="H158" s="745">
        <f t="shared" si="99"/>
        <v>248564</v>
      </c>
      <c r="I158" s="745">
        <f t="shared" si="99"/>
        <v>826</v>
      </c>
      <c r="J158" s="745">
        <f t="shared" si="99"/>
        <v>0</v>
      </c>
      <c r="K158" s="745">
        <f t="shared" si="99"/>
        <v>0</v>
      </c>
      <c r="L158" s="745">
        <f t="shared" si="99"/>
        <v>826</v>
      </c>
      <c r="M158" s="745">
        <f t="shared" si="99"/>
        <v>249390</v>
      </c>
      <c r="N158" s="745">
        <f t="shared" si="99"/>
        <v>0</v>
      </c>
      <c r="O158" s="745">
        <f t="shared" si="99"/>
        <v>249390</v>
      </c>
    </row>
    <row r="159" spans="1:16" ht="17.25" thickTop="1" thickBot="1" x14ac:dyDescent="0.3">
      <c r="A159" s="743"/>
      <c r="B159" s="744" t="s">
        <v>377</v>
      </c>
      <c r="C159" s="745">
        <f>+C151+C156</f>
        <v>3710</v>
      </c>
      <c r="D159" s="745">
        <f t="shared" ref="D159:O159" si="100">+D151+D156</f>
        <v>826</v>
      </c>
      <c r="E159" s="745">
        <f t="shared" si="100"/>
        <v>145</v>
      </c>
      <c r="F159" s="745">
        <f t="shared" si="100"/>
        <v>0</v>
      </c>
      <c r="G159" s="745">
        <f t="shared" si="100"/>
        <v>0</v>
      </c>
      <c r="H159" s="745">
        <f t="shared" si="100"/>
        <v>4681</v>
      </c>
      <c r="I159" s="745">
        <f t="shared" si="100"/>
        <v>0</v>
      </c>
      <c r="J159" s="745">
        <f t="shared" si="100"/>
        <v>0</v>
      </c>
      <c r="K159" s="745">
        <f t="shared" si="100"/>
        <v>0</v>
      </c>
      <c r="L159" s="745">
        <f t="shared" si="100"/>
        <v>0</v>
      </c>
      <c r="M159" s="745">
        <f t="shared" si="100"/>
        <v>4681</v>
      </c>
      <c r="N159" s="745">
        <f t="shared" si="100"/>
        <v>0</v>
      </c>
      <c r="O159" s="745">
        <f t="shared" si="100"/>
        <v>4681</v>
      </c>
    </row>
    <row r="160" spans="1:16" ht="16.5" thickTop="1" x14ac:dyDescent="0.25">
      <c r="A160" s="768" t="s">
        <v>4</v>
      </c>
      <c r="B160" s="769" t="s">
        <v>400</v>
      </c>
      <c r="C160" s="770"/>
      <c r="D160" s="771"/>
      <c r="E160" s="771"/>
      <c r="F160" s="772"/>
      <c r="G160" s="771"/>
      <c r="H160" s="773"/>
      <c r="I160" s="774"/>
      <c r="J160" s="772"/>
      <c r="K160" s="772"/>
      <c r="L160" s="773"/>
      <c r="M160" s="773"/>
      <c r="N160" s="773"/>
      <c r="O160" s="773"/>
    </row>
    <row r="161" spans="1:16" x14ac:dyDescent="0.25">
      <c r="A161" s="747"/>
      <c r="B161" s="724" t="s">
        <v>347</v>
      </c>
      <c r="C161" s="725">
        <f>SUM(C162:C163)</f>
        <v>150550</v>
      </c>
      <c r="D161" s="725">
        <f>SUM(D162:D163)</f>
        <v>27236</v>
      </c>
      <c r="E161" s="725">
        <f>SUM(E162:E163)</f>
        <v>38458</v>
      </c>
      <c r="F161" s="727"/>
      <c r="G161" s="726"/>
      <c r="H161" s="728">
        <f>SUM(C161:G161)</f>
        <v>216244</v>
      </c>
      <c r="I161" s="729">
        <v>243</v>
      </c>
      <c r="J161" s="727"/>
      <c r="K161" s="727"/>
      <c r="L161" s="728">
        <f>SUM(I161:K161)</f>
        <v>243</v>
      </c>
      <c r="M161" s="728">
        <f>SUM(H161+L161)</f>
        <v>216487</v>
      </c>
      <c r="N161" s="728"/>
      <c r="O161" s="728">
        <f>SUM(M161+N161)</f>
        <v>216487</v>
      </c>
    </row>
    <row r="162" spans="1:16" s="740" customFormat="1" x14ac:dyDescent="0.25">
      <c r="A162" s="775"/>
      <c r="B162" s="732" t="s">
        <v>381</v>
      </c>
      <c r="C162" s="733">
        <v>147308</v>
      </c>
      <c r="D162" s="734">
        <v>26511</v>
      </c>
      <c r="E162" s="734">
        <v>38443</v>
      </c>
      <c r="F162" s="735"/>
      <c r="G162" s="734"/>
      <c r="H162" s="736">
        <f>SUM(C162:G162)</f>
        <v>212262</v>
      </c>
      <c r="I162" s="746">
        <v>243</v>
      </c>
      <c r="J162" s="735"/>
      <c r="K162" s="735"/>
      <c r="L162" s="736">
        <f>SUM(I162:K162)</f>
        <v>243</v>
      </c>
      <c r="M162" s="739">
        <f>SUM(H162+L162)</f>
        <v>212505</v>
      </c>
      <c r="N162" s="739"/>
      <c r="O162" s="739">
        <f>SUM(M162+N162)</f>
        <v>212505</v>
      </c>
    </row>
    <row r="163" spans="1:16" s="740" customFormat="1" x14ac:dyDescent="0.25">
      <c r="A163" s="775"/>
      <c r="B163" s="732" t="s">
        <v>380</v>
      </c>
      <c r="C163" s="733">
        <v>3242</v>
      </c>
      <c r="D163" s="734">
        <v>725</v>
      </c>
      <c r="E163" s="734">
        <v>15</v>
      </c>
      <c r="F163" s="735"/>
      <c r="G163" s="734"/>
      <c r="H163" s="736">
        <f>SUM(C163:G163)</f>
        <v>3982</v>
      </c>
      <c r="I163" s="746"/>
      <c r="J163" s="735"/>
      <c r="K163" s="735"/>
      <c r="L163" s="736">
        <f>SUM(I163:K163)</f>
        <v>0</v>
      </c>
      <c r="M163" s="739">
        <f>SUM(H163+L163)</f>
        <v>3982</v>
      </c>
      <c r="N163" s="739"/>
      <c r="O163" s="739">
        <f>SUM(M163+N163)</f>
        <v>3982</v>
      </c>
    </row>
    <row r="164" spans="1:16" s="740" customFormat="1" x14ac:dyDescent="0.25">
      <c r="A164" s="775"/>
      <c r="B164" s="732" t="s">
        <v>131</v>
      </c>
      <c r="C164" s="733"/>
      <c r="D164" s="734"/>
      <c r="E164" s="734"/>
      <c r="F164" s="735"/>
      <c r="G164" s="734"/>
      <c r="H164" s="736"/>
      <c r="I164" s="746"/>
      <c r="J164" s="735"/>
      <c r="K164" s="735"/>
      <c r="L164" s="736"/>
      <c r="M164" s="739"/>
      <c r="N164" s="739"/>
      <c r="O164" s="739"/>
    </row>
    <row r="165" spans="1:16" s="740" customFormat="1" ht="31.5" x14ac:dyDescent="0.25">
      <c r="A165" s="775"/>
      <c r="B165" s="679" t="s">
        <v>915</v>
      </c>
      <c r="C165" s="762"/>
      <c r="D165" s="763"/>
      <c r="E165" s="763">
        <v>195</v>
      </c>
      <c r="F165" s="764"/>
      <c r="G165" s="734"/>
      <c r="H165" s="749">
        <f t="shared" ref="H165" si="101">SUM(C165:G165)</f>
        <v>195</v>
      </c>
      <c r="I165" s="746"/>
      <c r="J165" s="735"/>
      <c r="K165" s="735"/>
      <c r="L165" s="749">
        <f t="shared" ref="L165" si="102">SUM(I165:K165)</f>
        <v>0</v>
      </c>
      <c r="M165" s="749">
        <f t="shared" ref="M165" si="103">SUM(H165+L165)</f>
        <v>195</v>
      </c>
      <c r="N165" s="736"/>
      <c r="O165" s="749">
        <f t="shared" ref="O165" si="104">SUM(M165+N165)</f>
        <v>195</v>
      </c>
    </row>
    <row r="166" spans="1:16" s="740" customFormat="1" ht="16.5" thickBot="1" x14ac:dyDescent="0.3">
      <c r="A166" s="775"/>
      <c r="B166" s="732" t="s">
        <v>132</v>
      </c>
      <c r="C166" s="762"/>
      <c r="D166" s="763"/>
      <c r="E166" s="763"/>
      <c r="F166" s="764"/>
      <c r="G166" s="734"/>
      <c r="H166" s="749"/>
      <c r="I166" s="746"/>
      <c r="J166" s="735"/>
      <c r="K166" s="735"/>
      <c r="L166" s="749"/>
      <c r="M166" s="750"/>
      <c r="N166" s="739"/>
      <c r="O166" s="750"/>
    </row>
    <row r="167" spans="1:16" ht="17.25" thickTop="1" thickBot="1" x14ac:dyDescent="0.3">
      <c r="A167" s="743"/>
      <c r="B167" s="744" t="s">
        <v>379</v>
      </c>
      <c r="C167" s="745">
        <f>+C161+C165</f>
        <v>150550</v>
      </c>
      <c r="D167" s="745">
        <f t="shared" ref="D167:O167" si="105">+D161+D165</f>
        <v>27236</v>
      </c>
      <c r="E167" s="745">
        <f t="shared" si="105"/>
        <v>38653</v>
      </c>
      <c r="F167" s="745">
        <f t="shared" si="105"/>
        <v>0</v>
      </c>
      <c r="G167" s="745">
        <f t="shared" si="105"/>
        <v>0</v>
      </c>
      <c r="H167" s="745">
        <f t="shared" si="105"/>
        <v>216439</v>
      </c>
      <c r="I167" s="745">
        <f t="shared" si="105"/>
        <v>243</v>
      </c>
      <c r="J167" s="745">
        <f t="shared" si="105"/>
        <v>0</v>
      </c>
      <c r="K167" s="745">
        <f t="shared" si="105"/>
        <v>0</v>
      </c>
      <c r="L167" s="745">
        <f t="shared" si="105"/>
        <v>243</v>
      </c>
      <c r="M167" s="745">
        <f t="shared" si="105"/>
        <v>216682</v>
      </c>
      <c r="N167" s="745">
        <f t="shared" si="105"/>
        <v>0</v>
      </c>
      <c r="O167" s="745">
        <f t="shared" si="105"/>
        <v>216682</v>
      </c>
      <c r="P167" s="650">
        <f>O168+O169</f>
        <v>216682</v>
      </c>
    </row>
    <row r="168" spans="1:16" ht="17.25" thickTop="1" thickBot="1" x14ac:dyDescent="0.3">
      <c r="A168" s="743"/>
      <c r="B168" s="744" t="s">
        <v>378</v>
      </c>
      <c r="C168" s="745">
        <f>+C162+C165</f>
        <v>147308</v>
      </c>
      <c r="D168" s="745">
        <f t="shared" ref="D168:O168" si="106">+D162+D165</f>
        <v>26511</v>
      </c>
      <c r="E168" s="745">
        <f t="shared" si="106"/>
        <v>38638</v>
      </c>
      <c r="F168" s="745">
        <f t="shared" si="106"/>
        <v>0</v>
      </c>
      <c r="G168" s="745">
        <f t="shared" si="106"/>
        <v>0</v>
      </c>
      <c r="H168" s="745">
        <f t="shared" si="106"/>
        <v>212457</v>
      </c>
      <c r="I168" s="745">
        <f t="shared" si="106"/>
        <v>243</v>
      </c>
      <c r="J168" s="745">
        <f t="shared" si="106"/>
        <v>0</v>
      </c>
      <c r="K168" s="745">
        <f t="shared" si="106"/>
        <v>0</v>
      </c>
      <c r="L168" s="745">
        <f t="shared" si="106"/>
        <v>243</v>
      </c>
      <c r="M168" s="745">
        <f t="shared" si="106"/>
        <v>212700</v>
      </c>
      <c r="N168" s="745">
        <f t="shared" si="106"/>
        <v>0</v>
      </c>
      <c r="O168" s="745">
        <f t="shared" si="106"/>
        <v>212700</v>
      </c>
    </row>
    <row r="169" spans="1:16" ht="17.25" thickTop="1" thickBot="1" x14ac:dyDescent="0.3">
      <c r="A169" s="743"/>
      <c r="B169" s="744" t="s">
        <v>377</v>
      </c>
      <c r="C169" s="745">
        <f>+C163</f>
        <v>3242</v>
      </c>
      <c r="D169" s="745">
        <f t="shared" ref="D169:O169" si="107">+D163</f>
        <v>725</v>
      </c>
      <c r="E169" s="745">
        <f t="shared" si="107"/>
        <v>15</v>
      </c>
      <c r="F169" s="745">
        <f t="shared" si="107"/>
        <v>0</v>
      </c>
      <c r="G169" s="745">
        <f t="shared" si="107"/>
        <v>0</v>
      </c>
      <c r="H169" s="745">
        <f t="shared" si="107"/>
        <v>3982</v>
      </c>
      <c r="I169" s="745">
        <f t="shared" si="107"/>
        <v>0</v>
      </c>
      <c r="J169" s="745">
        <f t="shared" si="107"/>
        <v>0</v>
      </c>
      <c r="K169" s="745">
        <f t="shared" si="107"/>
        <v>0</v>
      </c>
      <c r="L169" s="745">
        <f t="shared" si="107"/>
        <v>0</v>
      </c>
      <c r="M169" s="745">
        <f t="shared" si="107"/>
        <v>3982</v>
      </c>
      <c r="N169" s="745">
        <f t="shared" si="107"/>
        <v>0</v>
      </c>
      <c r="O169" s="745">
        <f t="shared" si="107"/>
        <v>3982</v>
      </c>
    </row>
    <row r="170" spans="1:16" ht="16.5" thickTop="1" x14ac:dyDescent="0.25">
      <c r="A170" s="723" t="s">
        <v>5</v>
      </c>
      <c r="B170" s="724" t="s">
        <v>399</v>
      </c>
      <c r="C170" s="725"/>
      <c r="D170" s="726"/>
      <c r="E170" s="726"/>
      <c r="F170" s="742"/>
      <c r="G170" s="726"/>
      <c r="H170" s="728"/>
      <c r="I170" s="729"/>
      <c r="J170" s="727"/>
      <c r="K170" s="727"/>
      <c r="L170" s="728"/>
      <c r="M170" s="728"/>
      <c r="N170" s="728"/>
      <c r="O170" s="728"/>
    </row>
    <row r="171" spans="1:16" x14ac:dyDescent="0.25">
      <c r="A171" s="723"/>
      <c r="B171" s="679" t="s">
        <v>347</v>
      </c>
      <c r="C171" s="725">
        <f>SUM(C172:C173)</f>
        <v>170511</v>
      </c>
      <c r="D171" s="725">
        <f>SUM(D172:D173)</f>
        <v>31224</v>
      </c>
      <c r="E171" s="725">
        <f>SUM(E172:E173)</f>
        <v>54128</v>
      </c>
      <c r="F171" s="742"/>
      <c r="G171" s="726"/>
      <c r="H171" s="728">
        <f>SUM(C171:G171)</f>
        <v>255863</v>
      </c>
      <c r="I171" s="729">
        <v>85</v>
      </c>
      <c r="J171" s="727"/>
      <c r="K171" s="727"/>
      <c r="L171" s="728">
        <f>SUM(I171:K171)</f>
        <v>85</v>
      </c>
      <c r="M171" s="730">
        <f>SUM(H171+L171)</f>
        <v>255948</v>
      </c>
      <c r="N171" s="730"/>
      <c r="O171" s="730">
        <f>SUM(M171+N171)</f>
        <v>255948</v>
      </c>
    </row>
    <row r="172" spans="1:16" s="740" customFormat="1" x14ac:dyDescent="0.25">
      <c r="A172" s="731"/>
      <c r="B172" s="732" t="s">
        <v>381</v>
      </c>
      <c r="C172" s="733">
        <v>166744</v>
      </c>
      <c r="D172" s="734">
        <v>30388</v>
      </c>
      <c r="E172" s="734">
        <v>53998</v>
      </c>
      <c r="F172" s="738"/>
      <c r="G172" s="734"/>
      <c r="H172" s="736">
        <f>SUM(C172:G172)</f>
        <v>251130</v>
      </c>
      <c r="I172" s="746">
        <v>85</v>
      </c>
      <c r="J172" s="735"/>
      <c r="K172" s="735"/>
      <c r="L172" s="736">
        <f>SUM(I172:K172)</f>
        <v>85</v>
      </c>
      <c r="M172" s="739">
        <f>SUM(H172+L172)</f>
        <v>251215</v>
      </c>
      <c r="N172" s="739"/>
      <c r="O172" s="739">
        <f>SUM(M172+N172)</f>
        <v>251215</v>
      </c>
    </row>
    <row r="173" spans="1:16" s="740" customFormat="1" x14ac:dyDescent="0.25">
      <c r="A173" s="731"/>
      <c r="B173" s="732" t="s">
        <v>380</v>
      </c>
      <c r="C173" s="733">
        <v>3767</v>
      </c>
      <c r="D173" s="734">
        <v>836</v>
      </c>
      <c r="E173" s="734">
        <v>130</v>
      </c>
      <c r="F173" s="738"/>
      <c r="G173" s="734"/>
      <c r="H173" s="736">
        <f>SUM(C173:G173)</f>
        <v>4733</v>
      </c>
      <c r="I173" s="746"/>
      <c r="J173" s="735"/>
      <c r="K173" s="735"/>
      <c r="L173" s="736">
        <f>SUM(I173:K173)</f>
        <v>0</v>
      </c>
      <c r="M173" s="739">
        <f>SUM(H173+L173)</f>
        <v>4733</v>
      </c>
      <c r="N173" s="739"/>
      <c r="O173" s="739">
        <f>SUM(M173+N173)</f>
        <v>4733</v>
      </c>
    </row>
    <row r="174" spans="1:16" s="740" customFormat="1" x14ac:dyDescent="0.25">
      <c r="A174" s="731"/>
      <c r="B174" s="732" t="s">
        <v>131</v>
      </c>
      <c r="C174" s="733"/>
      <c r="D174" s="734"/>
      <c r="E174" s="734"/>
      <c r="F174" s="738"/>
      <c r="G174" s="734"/>
      <c r="H174" s="736"/>
      <c r="I174" s="746"/>
      <c r="J174" s="735"/>
      <c r="K174" s="735"/>
      <c r="L174" s="736"/>
      <c r="M174" s="739"/>
      <c r="N174" s="739"/>
      <c r="O174" s="739"/>
    </row>
    <row r="175" spans="1:16" s="740" customFormat="1" ht="47.25" x14ac:dyDescent="0.25">
      <c r="A175" s="731"/>
      <c r="B175" s="679" t="s">
        <v>1215</v>
      </c>
      <c r="C175" s="762">
        <v>184</v>
      </c>
      <c r="D175" s="763">
        <v>29</v>
      </c>
      <c r="E175" s="763"/>
      <c r="F175" s="766"/>
      <c r="G175" s="734"/>
      <c r="H175" s="749">
        <f t="shared" ref="H175:H176" si="108">SUM(C175:G175)</f>
        <v>213</v>
      </c>
      <c r="I175" s="746"/>
      <c r="J175" s="735"/>
      <c r="K175" s="735"/>
      <c r="L175" s="749">
        <f t="shared" ref="L175:L176" si="109">SUM(I175:K175)</f>
        <v>0</v>
      </c>
      <c r="M175" s="750">
        <f t="shared" ref="M175:M176" si="110">SUM(H175+L175)</f>
        <v>213</v>
      </c>
      <c r="N175" s="739"/>
      <c r="O175" s="750">
        <f t="shared" ref="O175:O176" si="111">SUM(M175+N175)</f>
        <v>213</v>
      </c>
    </row>
    <row r="176" spans="1:16" s="740" customFormat="1" ht="31.5" x14ac:dyDescent="0.25">
      <c r="A176" s="731"/>
      <c r="B176" s="679" t="s">
        <v>915</v>
      </c>
      <c r="C176" s="762"/>
      <c r="D176" s="763"/>
      <c r="E176" s="763">
        <f>1+4499</f>
        <v>4500</v>
      </c>
      <c r="F176" s="766"/>
      <c r="G176" s="734"/>
      <c r="H176" s="749">
        <f t="shared" si="108"/>
        <v>4500</v>
      </c>
      <c r="I176" s="767">
        <v>55</v>
      </c>
      <c r="J176" s="735"/>
      <c r="K176" s="735"/>
      <c r="L176" s="749">
        <f t="shared" si="109"/>
        <v>55</v>
      </c>
      <c r="M176" s="750">
        <f t="shared" si="110"/>
        <v>4555</v>
      </c>
      <c r="N176" s="739"/>
      <c r="O176" s="750">
        <f t="shared" si="111"/>
        <v>4555</v>
      </c>
    </row>
    <row r="177" spans="1:16" s="740" customFormat="1" ht="16.5" thickBot="1" x14ac:dyDescent="0.3">
      <c r="A177" s="731"/>
      <c r="B177" s="732" t="s">
        <v>132</v>
      </c>
      <c r="C177" s="762"/>
      <c r="D177" s="763"/>
      <c r="E177" s="763"/>
      <c r="F177" s="766"/>
      <c r="G177" s="734"/>
      <c r="H177" s="749"/>
      <c r="I177" s="746"/>
      <c r="J177" s="735"/>
      <c r="K177" s="735"/>
      <c r="L177" s="749"/>
      <c r="M177" s="750"/>
      <c r="N177" s="739"/>
      <c r="O177" s="750"/>
    </row>
    <row r="178" spans="1:16" ht="17.25" thickTop="1" thickBot="1" x14ac:dyDescent="0.3">
      <c r="A178" s="743"/>
      <c r="B178" s="744" t="s">
        <v>379</v>
      </c>
      <c r="C178" s="745">
        <f>+C171+C175+C176</f>
        <v>170695</v>
      </c>
      <c r="D178" s="745">
        <f t="shared" ref="D178:O178" si="112">+D171+D175+D176</f>
        <v>31253</v>
      </c>
      <c r="E178" s="745">
        <f t="shared" si="112"/>
        <v>58628</v>
      </c>
      <c r="F178" s="745">
        <f t="shared" si="112"/>
        <v>0</v>
      </c>
      <c r="G178" s="745">
        <f t="shared" si="112"/>
        <v>0</v>
      </c>
      <c r="H178" s="745">
        <f t="shared" si="112"/>
        <v>260576</v>
      </c>
      <c r="I178" s="745">
        <f t="shared" si="112"/>
        <v>140</v>
      </c>
      <c r="J178" s="745">
        <f t="shared" si="112"/>
        <v>0</v>
      </c>
      <c r="K178" s="745">
        <f t="shared" si="112"/>
        <v>0</v>
      </c>
      <c r="L178" s="745">
        <f t="shared" si="112"/>
        <v>140</v>
      </c>
      <c r="M178" s="745">
        <f t="shared" si="112"/>
        <v>260716</v>
      </c>
      <c r="N178" s="745">
        <f t="shared" si="112"/>
        <v>0</v>
      </c>
      <c r="O178" s="745">
        <f t="shared" si="112"/>
        <v>260716</v>
      </c>
      <c r="P178" s="650">
        <f>O179+O180</f>
        <v>260716</v>
      </c>
    </row>
    <row r="179" spans="1:16" ht="17.25" thickTop="1" thickBot="1" x14ac:dyDescent="0.3">
      <c r="A179" s="743"/>
      <c r="B179" s="744" t="s">
        <v>378</v>
      </c>
      <c r="C179" s="745">
        <f>+C172+C175+C176</f>
        <v>166928</v>
      </c>
      <c r="D179" s="745">
        <f t="shared" ref="D179:O179" si="113">+D172+D175+D176</f>
        <v>30417</v>
      </c>
      <c r="E179" s="745">
        <f t="shared" si="113"/>
        <v>58498</v>
      </c>
      <c r="F179" s="745">
        <f t="shared" si="113"/>
        <v>0</v>
      </c>
      <c r="G179" s="745">
        <f t="shared" si="113"/>
        <v>0</v>
      </c>
      <c r="H179" s="745">
        <f t="shared" si="113"/>
        <v>255843</v>
      </c>
      <c r="I179" s="745">
        <f t="shared" si="113"/>
        <v>140</v>
      </c>
      <c r="J179" s="745">
        <f t="shared" si="113"/>
        <v>0</v>
      </c>
      <c r="K179" s="745">
        <f t="shared" si="113"/>
        <v>0</v>
      </c>
      <c r="L179" s="745">
        <f t="shared" si="113"/>
        <v>140</v>
      </c>
      <c r="M179" s="745">
        <f t="shared" si="113"/>
        <v>255983</v>
      </c>
      <c r="N179" s="745">
        <f t="shared" si="113"/>
        <v>0</v>
      </c>
      <c r="O179" s="745">
        <f t="shared" si="113"/>
        <v>255983</v>
      </c>
    </row>
    <row r="180" spans="1:16" ht="17.25" thickTop="1" thickBot="1" x14ac:dyDescent="0.3">
      <c r="A180" s="743"/>
      <c r="B180" s="744" t="s">
        <v>377</v>
      </c>
      <c r="C180" s="745">
        <f>+C173</f>
        <v>3767</v>
      </c>
      <c r="D180" s="745">
        <f t="shared" ref="D180:O180" si="114">+D173</f>
        <v>836</v>
      </c>
      <c r="E180" s="745">
        <f t="shared" si="114"/>
        <v>130</v>
      </c>
      <c r="F180" s="745">
        <f t="shared" si="114"/>
        <v>0</v>
      </c>
      <c r="G180" s="745">
        <f t="shared" si="114"/>
        <v>0</v>
      </c>
      <c r="H180" s="745">
        <f t="shared" si="114"/>
        <v>4733</v>
      </c>
      <c r="I180" s="745">
        <f t="shared" si="114"/>
        <v>0</v>
      </c>
      <c r="J180" s="745">
        <f t="shared" si="114"/>
        <v>0</v>
      </c>
      <c r="K180" s="745">
        <f t="shared" si="114"/>
        <v>0</v>
      </c>
      <c r="L180" s="745">
        <f t="shared" si="114"/>
        <v>0</v>
      </c>
      <c r="M180" s="745">
        <f t="shared" si="114"/>
        <v>4733</v>
      </c>
      <c r="N180" s="745">
        <f t="shared" si="114"/>
        <v>0</v>
      </c>
      <c r="O180" s="745">
        <f t="shared" si="114"/>
        <v>4733</v>
      </c>
    </row>
    <row r="181" spans="1:16" ht="16.5" thickTop="1" x14ac:dyDescent="0.25">
      <c r="A181" s="723" t="s">
        <v>6</v>
      </c>
      <c r="B181" s="724" t="s">
        <v>659</v>
      </c>
      <c r="C181" s="725"/>
      <c r="D181" s="726"/>
      <c r="E181" s="726"/>
      <c r="F181" s="742"/>
      <c r="G181" s="726"/>
      <c r="H181" s="728"/>
      <c r="I181" s="729"/>
      <c r="J181" s="727"/>
      <c r="K181" s="727"/>
      <c r="L181" s="728"/>
      <c r="M181" s="728"/>
      <c r="N181" s="728"/>
      <c r="O181" s="728"/>
    </row>
    <row r="182" spans="1:16" x14ac:dyDescent="0.25">
      <c r="A182" s="747"/>
      <c r="B182" s="724" t="s">
        <v>347</v>
      </c>
      <c r="C182" s="725">
        <f>SUM(C183:C184)</f>
        <v>153542</v>
      </c>
      <c r="D182" s="725">
        <f>SUM(D183:D184)</f>
        <v>27311</v>
      </c>
      <c r="E182" s="725">
        <f>SUM(E183:E184)</f>
        <v>70546</v>
      </c>
      <c r="F182" s="727"/>
      <c r="G182" s="726"/>
      <c r="H182" s="728">
        <f>SUM(C182:G182)</f>
        <v>251399</v>
      </c>
      <c r="I182" s="729">
        <v>456</v>
      </c>
      <c r="J182" s="727"/>
      <c r="K182" s="727"/>
      <c r="L182" s="728">
        <f>SUM(I182:K182)</f>
        <v>456</v>
      </c>
      <c r="M182" s="730">
        <f>SUM(H182+L182)</f>
        <v>251855</v>
      </c>
      <c r="N182" s="730"/>
      <c r="O182" s="730">
        <f>SUM(M182+N182)</f>
        <v>251855</v>
      </c>
    </row>
    <row r="183" spans="1:16" s="740" customFormat="1" x14ac:dyDescent="0.25">
      <c r="A183" s="775"/>
      <c r="B183" s="748" t="s">
        <v>381</v>
      </c>
      <c r="C183" s="733">
        <v>150110</v>
      </c>
      <c r="D183" s="734">
        <v>26584</v>
      </c>
      <c r="E183" s="734">
        <v>70266</v>
      </c>
      <c r="F183" s="735"/>
      <c r="G183" s="734"/>
      <c r="H183" s="736">
        <f>SUM(C183:G183)</f>
        <v>246960</v>
      </c>
      <c r="I183" s="746">
        <v>456</v>
      </c>
      <c r="J183" s="735"/>
      <c r="K183" s="735"/>
      <c r="L183" s="736">
        <f>SUM(I183:K183)</f>
        <v>456</v>
      </c>
      <c r="M183" s="736">
        <f>SUM(H183+L183)</f>
        <v>247416</v>
      </c>
      <c r="N183" s="736"/>
      <c r="O183" s="736">
        <f>SUM(M183+N183)</f>
        <v>247416</v>
      </c>
    </row>
    <row r="184" spans="1:16" s="740" customFormat="1" x14ac:dyDescent="0.25">
      <c r="A184" s="775"/>
      <c r="B184" s="748" t="s">
        <v>380</v>
      </c>
      <c r="C184" s="733">
        <v>3432</v>
      </c>
      <c r="D184" s="734">
        <v>727</v>
      </c>
      <c r="E184" s="734">
        <v>280</v>
      </c>
      <c r="F184" s="735"/>
      <c r="G184" s="734"/>
      <c r="H184" s="736">
        <f>SUM(C184:G184)</f>
        <v>4439</v>
      </c>
      <c r="I184" s="746"/>
      <c r="J184" s="735"/>
      <c r="K184" s="735"/>
      <c r="L184" s="736">
        <f>SUM(I184:K184)</f>
        <v>0</v>
      </c>
      <c r="M184" s="736">
        <f>SUM(H184+L184)</f>
        <v>4439</v>
      </c>
      <c r="N184" s="736"/>
      <c r="O184" s="736">
        <f>SUM(M184+N184)</f>
        <v>4439</v>
      </c>
    </row>
    <row r="185" spans="1:16" s="740" customFormat="1" x14ac:dyDescent="0.25">
      <c r="A185" s="775"/>
      <c r="B185" s="732" t="s">
        <v>131</v>
      </c>
      <c r="C185" s="733"/>
      <c r="D185" s="734"/>
      <c r="E185" s="734"/>
      <c r="F185" s="735"/>
      <c r="G185" s="734"/>
      <c r="H185" s="736"/>
      <c r="I185" s="746"/>
      <c r="J185" s="735"/>
      <c r="K185" s="735"/>
      <c r="L185" s="736"/>
      <c r="M185" s="739"/>
      <c r="N185" s="739"/>
      <c r="O185" s="739"/>
    </row>
    <row r="186" spans="1:16" s="740" customFormat="1" ht="31.5" x14ac:dyDescent="0.25">
      <c r="A186" s="775"/>
      <c r="B186" s="679" t="s">
        <v>564</v>
      </c>
      <c r="C186" s="762"/>
      <c r="D186" s="763"/>
      <c r="E186" s="763">
        <v>-145</v>
      </c>
      <c r="F186" s="764"/>
      <c r="G186" s="734"/>
      <c r="H186" s="749">
        <f t="shared" ref="H186:H187" si="115">SUM(C186:G186)</f>
        <v>-145</v>
      </c>
      <c r="I186" s="767">
        <v>145</v>
      </c>
      <c r="J186" s="735"/>
      <c r="K186" s="735"/>
      <c r="L186" s="749">
        <f t="shared" ref="L186:L187" si="116">SUM(I186:K186)</f>
        <v>145</v>
      </c>
      <c r="M186" s="750">
        <f t="shared" ref="M186:M187" si="117">SUM(H186+L186)</f>
        <v>0</v>
      </c>
      <c r="N186" s="739"/>
      <c r="O186" s="750">
        <f t="shared" ref="O186:O187" si="118">SUM(M186+N186)</f>
        <v>0</v>
      </c>
    </row>
    <row r="187" spans="1:16" s="740" customFormat="1" ht="31.5" x14ac:dyDescent="0.25">
      <c r="A187" s="775"/>
      <c r="B187" s="679" t="s">
        <v>915</v>
      </c>
      <c r="C187" s="762"/>
      <c r="D187" s="763"/>
      <c r="E187" s="763">
        <f>500+3261</f>
        <v>3761</v>
      </c>
      <c r="F187" s="764"/>
      <c r="G187" s="734"/>
      <c r="H187" s="749">
        <f t="shared" si="115"/>
        <v>3761</v>
      </c>
      <c r="I187" s="746"/>
      <c r="J187" s="735"/>
      <c r="K187" s="735"/>
      <c r="L187" s="749">
        <f t="shared" si="116"/>
        <v>0</v>
      </c>
      <c r="M187" s="750">
        <f t="shared" si="117"/>
        <v>3761</v>
      </c>
      <c r="N187" s="739"/>
      <c r="O187" s="750">
        <f t="shared" si="118"/>
        <v>3761</v>
      </c>
    </row>
    <row r="188" spans="1:16" s="740" customFormat="1" ht="16.5" thickBot="1" x14ac:dyDescent="0.3">
      <c r="A188" s="775"/>
      <c r="B188" s="732" t="s">
        <v>132</v>
      </c>
      <c r="C188" s="762"/>
      <c r="D188" s="763"/>
      <c r="E188" s="763"/>
      <c r="F188" s="764"/>
      <c r="G188" s="734"/>
      <c r="H188" s="749"/>
      <c r="I188" s="746"/>
      <c r="J188" s="735"/>
      <c r="K188" s="735"/>
      <c r="L188" s="749"/>
      <c r="M188" s="750"/>
      <c r="N188" s="739"/>
      <c r="O188" s="750"/>
    </row>
    <row r="189" spans="1:16" ht="17.25" thickTop="1" thickBot="1" x14ac:dyDescent="0.3">
      <c r="A189" s="743"/>
      <c r="B189" s="744" t="s">
        <v>379</v>
      </c>
      <c r="C189" s="745">
        <f>+C182+C186+C187</f>
        <v>153542</v>
      </c>
      <c r="D189" s="745">
        <f t="shared" ref="D189:O189" si="119">+D182+D186+D187</f>
        <v>27311</v>
      </c>
      <c r="E189" s="745">
        <f t="shared" si="119"/>
        <v>74162</v>
      </c>
      <c r="F189" s="745">
        <f t="shared" si="119"/>
        <v>0</v>
      </c>
      <c r="G189" s="745">
        <f t="shared" si="119"/>
        <v>0</v>
      </c>
      <c r="H189" s="745">
        <f t="shared" si="119"/>
        <v>255015</v>
      </c>
      <c r="I189" s="745">
        <f t="shared" si="119"/>
        <v>601</v>
      </c>
      <c r="J189" s="745">
        <f t="shared" si="119"/>
        <v>0</v>
      </c>
      <c r="K189" s="745">
        <f t="shared" si="119"/>
        <v>0</v>
      </c>
      <c r="L189" s="745">
        <f t="shared" si="119"/>
        <v>601</v>
      </c>
      <c r="M189" s="745">
        <f t="shared" si="119"/>
        <v>255616</v>
      </c>
      <c r="N189" s="745">
        <f t="shared" si="119"/>
        <v>0</v>
      </c>
      <c r="O189" s="745">
        <f t="shared" si="119"/>
        <v>255616</v>
      </c>
      <c r="P189" s="650">
        <f>O190+O191</f>
        <v>255616</v>
      </c>
    </row>
    <row r="190" spans="1:16" ht="17.25" thickTop="1" thickBot="1" x14ac:dyDescent="0.3">
      <c r="A190" s="743"/>
      <c r="B190" s="744" t="s">
        <v>378</v>
      </c>
      <c r="C190" s="745">
        <f>+C183+C186+C187</f>
        <v>150110</v>
      </c>
      <c r="D190" s="745">
        <f t="shared" ref="D190:O190" si="120">+D183+D186+D187</f>
        <v>26584</v>
      </c>
      <c r="E190" s="745">
        <f t="shared" si="120"/>
        <v>73882</v>
      </c>
      <c r="F190" s="745">
        <f t="shared" si="120"/>
        <v>0</v>
      </c>
      <c r="G190" s="745">
        <f t="shared" si="120"/>
        <v>0</v>
      </c>
      <c r="H190" s="745">
        <f t="shared" si="120"/>
        <v>250576</v>
      </c>
      <c r="I190" s="745">
        <f t="shared" si="120"/>
        <v>601</v>
      </c>
      <c r="J190" s="745">
        <f t="shared" si="120"/>
        <v>0</v>
      </c>
      <c r="K190" s="745">
        <f t="shared" si="120"/>
        <v>0</v>
      </c>
      <c r="L190" s="745">
        <f t="shared" si="120"/>
        <v>601</v>
      </c>
      <c r="M190" s="745">
        <f t="shared" si="120"/>
        <v>251177</v>
      </c>
      <c r="N190" s="745">
        <f t="shared" si="120"/>
        <v>0</v>
      </c>
      <c r="O190" s="745">
        <f t="shared" si="120"/>
        <v>251177</v>
      </c>
    </row>
    <row r="191" spans="1:16" ht="17.25" thickTop="1" thickBot="1" x14ac:dyDescent="0.3">
      <c r="A191" s="743"/>
      <c r="B191" s="744" t="s">
        <v>377</v>
      </c>
      <c r="C191" s="745">
        <f>+C184</f>
        <v>3432</v>
      </c>
      <c r="D191" s="745">
        <f t="shared" ref="D191:O191" si="121">+D184</f>
        <v>727</v>
      </c>
      <c r="E191" s="745">
        <f t="shared" si="121"/>
        <v>280</v>
      </c>
      <c r="F191" s="745">
        <f t="shared" si="121"/>
        <v>0</v>
      </c>
      <c r="G191" s="745">
        <f t="shared" si="121"/>
        <v>0</v>
      </c>
      <c r="H191" s="745">
        <f t="shared" si="121"/>
        <v>4439</v>
      </c>
      <c r="I191" s="745">
        <f t="shared" si="121"/>
        <v>0</v>
      </c>
      <c r="J191" s="745">
        <f t="shared" si="121"/>
        <v>0</v>
      </c>
      <c r="K191" s="745">
        <f t="shared" si="121"/>
        <v>0</v>
      </c>
      <c r="L191" s="745">
        <f t="shared" si="121"/>
        <v>0</v>
      </c>
      <c r="M191" s="745">
        <f t="shared" si="121"/>
        <v>4439</v>
      </c>
      <c r="N191" s="745">
        <f t="shared" si="121"/>
        <v>0</v>
      </c>
      <c r="O191" s="745">
        <f t="shared" si="121"/>
        <v>4439</v>
      </c>
    </row>
    <row r="192" spans="1:16" ht="16.5" thickTop="1" x14ac:dyDescent="0.25">
      <c r="A192" s="723" t="s">
        <v>7</v>
      </c>
      <c r="B192" s="724" t="s">
        <v>398</v>
      </c>
      <c r="C192" s="725"/>
      <c r="D192" s="726"/>
      <c r="E192" s="726"/>
      <c r="F192" s="742"/>
      <c r="G192" s="726"/>
      <c r="H192" s="728"/>
      <c r="I192" s="729"/>
      <c r="J192" s="727"/>
      <c r="K192" s="727"/>
      <c r="L192" s="728"/>
      <c r="M192" s="728"/>
      <c r="N192" s="728"/>
      <c r="O192" s="728"/>
    </row>
    <row r="193" spans="1:16" x14ac:dyDescent="0.25">
      <c r="A193" s="723"/>
      <c r="B193" s="679" t="s">
        <v>347</v>
      </c>
      <c r="C193" s="725">
        <f>SUM(C194:C195)</f>
        <v>39462</v>
      </c>
      <c r="D193" s="725">
        <f>SUM(D194:D195)</f>
        <v>6669</v>
      </c>
      <c r="E193" s="725">
        <f>SUM(E194:E195)</f>
        <v>8838</v>
      </c>
      <c r="F193" s="742"/>
      <c r="G193" s="726">
        <v>246</v>
      </c>
      <c r="H193" s="728">
        <f>SUM(C193:G193)</f>
        <v>55215</v>
      </c>
      <c r="I193" s="729"/>
      <c r="J193" s="727"/>
      <c r="K193" s="727"/>
      <c r="L193" s="728">
        <f>SUM(I193:K193)</f>
        <v>0</v>
      </c>
      <c r="M193" s="730">
        <f>SUM(H193+L193)</f>
        <v>55215</v>
      </c>
      <c r="N193" s="730"/>
      <c r="O193" s="730">
        <f>SUM(M193+N193)</f>
        <v>55215</v>
      </c>
    </row>
    <row r="194" spans="1:16" s="740" customFormat="1" x14ac:dyDescent="0.25">
      <c r="A194" s="731"/>
      <c r="B194" s="732" t="s">
        <v>381</v>
      </c>
      <c r="C194" s="733">
        <v>38648</v>
      </c>
      <c r="D194" s="734">
        <v>6454</v>
      </c>
      <c r="E194" s="734">
        <v>8838</v>
      </c>
      <c r="F194" s="738"/>
      <c r="G194" s="734">
        <v>246</v>
      </c>
      <c r="H194" s="736">
        <f>SUM(C194:G194)</f>
        <v>54186</v>
      </c>
      <c r="I194" s="746"/>
      <c r="J194" s="735"/>
      <c r="K194" s="735"/>
      <c r="L194" s="736">
        <f>SUM(I194:K194)</f>
        <v>0</v>
      </c>
      <c r="M194" s="739">
        <f>SUM(H194+L194)</f>
        <v>54186</v>
      </c>
      <c r="N194" s="739"/>
      <c r="O194" s="739">
        <f>SUM(M194+N194)</f>
        <v>54186</v>
      </c>
    </row>
    <row r="195" spans="1:16" s="740" customFormat="1" x14ac:dyDescent="0.25">
      <c r="A195" s="731"/>
      <c r="B195" s="732" t="s">
        <v>380</v>
      </c>
      <c r="C195" s="733">
        <v>814</v>
      </c>
      <c r="D195" s="734">
        <v>215</v>
      </c>
      <c r="E195" s="734"/>
      <c r="F195" s="738"/>
      <c r="G195" s="734"/>
      <c r="H195" s="736">
        <f>SUM(C195:G195)</f>
        <v>1029</v>
      </c>
      <c r="I195" s="746"/>
      <c r="J195" s="735"/>
      <c r="K195" s="735"/>
      <c r="L195" s="736">
        <f>SUM(I195:K195)</f>
        <v>0</v>
      </c>
      <c r="M195" s="739">
        <f>SUM(H195+L195)</f>
        <v>1029</v>
      </c>
      <c r="N195" s="739"/>
      <c r="O195" s="739">
        <f>SUM(M195+N195)</f>
        <v>1029</v>
      </c>
    </row>
    <row r="196" spans="1:16" s="740" customFormat="1" x14ac:dyDescent="0.25">
      <c r="A196" s="731"/>
      <c r="B196" s="732" t="s">
        <v>131</v>
      </c>
      <c r="C196" s="733"/>
      <c r="D196" s="734"/>
      <c r="E196" s="734"/>
      <c r="F196" s="738"/>
      <c r="G196" s="734"/>
      <c r="H196" s="736"/>
      <c r="I196" s="746"/>
      <c r="J196" s="735"/>
      <c r="K196" s="735"/>
      <c r="L196" s="736"/>
      <c r="M196" s="739"/>
      <c r="N196" s="739"/>
      <c r="O196" s="739"/>
    </row>
    <row r="197" spans="1:16" s="740" customFormat="1" x14ac:dyDescent="0.25">
      <c r="A197" s="731"/>
      <c r="B197" s="679"/>
      <c r="C197" s="762"/>
      <c r="D197" s="763"/>
      <c r="E197" s="763"/>
      <c r="F197" s="766"/>
      <c r="G197" s="763"/>
      <c r="H197" s="749">
        <f t="shared" ref="H197:H199" si="122">SUM(C197:G197)</f>
        <v>0</v>
      </c>
      <c r="I197" s="767"/>
      <c r="J197" s="764"/>
      <c r="K197" s="764"/>
      <c r="L197" s="749">
        <f t="shared" ref="L197:L199" si="123">SUM(I197:K197)</f>
        <v>0</v>
      </c>
      <c r="M197" s="750">
        <f t="shared" ref="M197:M199" si="124">SUM(H197+L197)</f>
        <v>0</v>
      </c>
      <c r="N197" s="750"/>
      <c r="O197" s="750">
        <f t="shared" ref="O197:O199" si="125">SUM(M197+N197)</f>
        <v>0</v>
      </c>
    </row>
    <row r="198" spans="1:16" s="740" customFormat="1" x14ac:dyDescent="0.25">
      <c r="A198" s="731"/>
      <c r="B198" s="732" t="s">
        <v>132</v>
      </c>
      <c r="C198" s="762"/>
      <c r="D198" s="763"/>
      <c r="E198" s="763"/>
      <c r="F198" s="766"/>
      <c r="G198" s="763"/>
      <c r="H198" s="749"/>
      <c r="I198" s="767"/>
      <c r="J198" s="764"/>
      <c r="K198" s="764"/>
      <c r="L198" s="749"/>
      <c r="M198" s="750"/>
      <c r="N198" s="750"/>
      <c r="O198" s="750"/>
    </row>
    <row r="199" spans="1:16" s="740" customFormat="1" ht="16.5" thickBot="1" x14ac:dyDescent="0.3">
      <c r="A199" s="731"/>
      <c r="B199" s="679"/>
      <c r="C199" s="762"/>
      <c r="D199" s="763"/>
      <c r="E199" s="763"/>
      <c r="F199" s="766"/>
      <c r="G199" s="763"/>
      <c r="H199" s="749">
        <f t="shared" si="122"/>
        <v>0</v>
      </c>
      <c r="I199" s="767"/>
      <c r="J199" s="764"/>
      <c r="K199" s="764"/>
      <c r="L199" s="749">
        <f t="shared" si="123"/>
        <v>0</v>
      </c>
      <c r="M199" s="750">
        <f t="shared" si="124"/>
        <v>0</v>
      </c>
      <c r="N199" s="750"/>
      <c r="O199" s="750">
        <f t="shared" si="125"/>
        <v>0</v>
      </c>
    </row>
    <row r="200" spans="1:16" ht="17.25" thickTop="1" thickBot="1" x14ac:dyDescent="0.3">
      <c r="A200" s="743"/>
      <c r="B200" s="744" t="s">
        <v>379</v>
      </c>
      <c r="C200" s="745">
        <f>+C193+C197+C199</f>
        <v>39462</v>
      </c>
      <c r="D200" s="745">
        <f t="shared" ref="D200:O200" si="126">+D193+D197+D199</f>
        <v>6669</v>
      </c>
      <c r="E200" s="745">
        <f t="shared" si="126"/>
        <v>8838</v>
      </c>
      <c r="F200" s="745">
        <f t="shared" si="126"/>
        <v>0</v>
      </c>
      <c r="G200" s="745">
        <f t="shared" si="126"/>
        <v>246</v>
      </c>
      <c r="H200" s="745">
        <f t="shared" si="126"/>
        <v>55215</v>
      </c>
      <c r="I200" s="745">
        <f t="shared" si="126"/>
        <v>0</v>
      </c>
      <c r="J200" s="745">
        <f t="shared" si="126"/>
        <v>0</v>
      </c>
      <c r="K200" s="745">
        <f t="shared" si="126"/>
        <v>0</v>
      </c>
      <c r="L200" s="745">
        <f t="shared" si="126"/>
        <v>0</v>
      </c>
      <c r="M200" s="745">
        <f t="shared" si="126"/>
        <v>55215</v>
      </c>
      <c r="N200" s="745">
        <f t="shared" si="126"/>
        <v>0</v>
      </c>
      <c r="O200" s="745">
        <f t="shared" si="126"/>
        <v>55215</v>
      </c>
      <c r="P200" s="650">
        <f>O201+O202</f>
        <v>55215</v>
      </c>
    </row>
    <row r="201" spans="1:16" ht="17.25" thickTop="1" thickBot="1" x14ac:dyDescent="0.3">
      <c r="A201" s="743"/>
      <c r="B201" s="744" t="s">
        <v>378</v>
      </c>
      <c r="C201" s="745">
        <f>+C194+C197</f>
        <v>38648</v>
      </c>
      <c r="D201" s="745">
        <f t="shared" ref="D201:O201" si="127">+D194+D197</f>
        <v>6454</v>
      </c>
      <c r="E201" s="745">
        <f t="shared" si="127"/>
        <v>8838</v>
      </c>
      <c r="F201" s="745">
        <f t="shared" si="127"/>
        <v>0</v>
      </c>
      <c r="G201" s="745">
        <f t="shared" si="127"/>
        <v>246</v>
      </c>
      <c r="H201" s="745">
        <f t="shared" si="127"/>
        <v>54186</v>
      </c>
      <c r="I201" s="745">
        <f t="shared" si="127"/>
        <v>0</v>
      </c>
      <c r="J201" s="745">
        <f t="shared" si="127"/>
        <v>0</v>
      </c>
      <c r="K201" s="745">
        <f t="shared" si="127"/>
        <v>0</v>
      </c>
      <c r="L201" s="745">
        <f t="shared" si="127"/>
        <v>0</v>
      </c>
      <c r="M201" s="745">
        <f t="shared" si="127"/>
        <v>54186</v>
      </c>
      <c r="N201" s="745">
        <f t="shared" si="127"/>
        <v>0</v>
      </c>
      <c r="O201" s="745">
        <f t="shared" si="127"/>
        <v>54186</v>
      </c>
    </row>
    <row r="202" spans="1:16" ht="17.25" thickTop="1" thickBot="1" x14ac:dyDescent="0.3">
      <c r="A202" s="743"/>
      <c r="B202" s="744" t="s">
        <v>377</v>
      </c>
      <c r="C202" s="745">
        <f>+C195+C199</f>
        <v>814</v>
      </c>
      <c r="D202" s="745">
        <f t="shared" ref="D202:O202" si="128">+D195+D199</f>
        <v>215</v>
      </c>
      <c r="E202" s="745">
        <f t="shared" si="128"/>
        <v>0</v>
      </c>
      <c r="F202" s="745">
        <f t="shared" si="128"/>
        <v>0</v>
      </c>
      <c r="G202" s="745">
        <f t="shared" si="128"/>
        <v>0</v>
      </c>
      <c r="H202" s="745">
        <f t="shared" si="128"/>
        <v>1029</v>
      </c>
      <c r="I202" s="745">
        <f t="shared" si="128"/>
        <v>0</v>
      </c>
      <c r="J202" s="745">
        <f t="shared" si="128"/>
        <v>0</v>
      </c>
      <c r="K202" s="745">
        <f t="shared" si="128"/>
        <v>0</v>
      </c>
      <c r="L202" s="745">
        <f t="shared" si="128"/>
        <v>0</v>
      </c>
      <c r="M202" s="745">
        <f t="shared" si="128"/>
        <v>1029</v>
      </c>
      <c r="N202" s="745">
        <f t="shared" si="128"/>
        <v>0</v>
      </c>
      <c r="O202" s="745">
        <f t="shared" si="128"/>
        <v>1029</v>
      </c>
    </row>
    <row r="203" spans="1:16" ht="16.5" thickTop="1" x14ac:dyDescent="0.25">
      <c r="A203" s="723" t="s">
        <v>8</v>
      </c>
      <c r="B203" s="724" t="s">
        <v>660</v>
      </c>
      <c r="C203" s="725"/>
      <c r="D203" s="726"/>
      <c r="E203" s="726"/>
      <c r="F203" s="742"/>
      <c r="G203" s="726"/>
      <c r="H203" s="728"/>
      <c r="I203" s="729"/>
      <c r="J203" s="727"/>
      <c r="K203" s="727"/>
      <c r="L203" s="728"/>
      <c r="M203" s="728"/>
      <c r="N203" s="728"/>
      <c r="O203" s="728"/>
    </row>
    <row r="204" spans="1:16" x14ac:dyDescent="0.25">
      <c r="A204" s="747"/>
      <c r="B204" s="724" t="s">
        <v>347</v>
      </c>
      <c r="C204" s="725">
        <f>SUM(C205:C206)</f>
        <v>208055</v>
      </c>
      <c r="D204" s="725">
        <f>SUM(D205:D206)</f>
        <v>38206</v>
      </c>
      <c r="E204" s="725">
        <f>SUM(E205:E206)</f>
        <v>62615</v>
      </c>
      <c r="F204" s="727"/>
      <c r="G204" s="726"/>
      <c r="H204" s="728">
        <f>SUM(C204:G204)</f>
        <v>308876</v>
      </c>
      <c r="I204" s="729"/>
      <c r="J204" s="727"/>
      <c r="K204" s="727"/>
      <c r="L204" s="728">
        <f>SUM(I204:K204)</f>
        <v>0</v>
      </c>
      <c r="M204" s="730">
        <f>SUM(H204+L204)</f>
        <v>308876</v>
      </c>
      <c r="N204" s="730"/>
      <c r="O204" s="730">
        <f>SUM(M204+N204)</f>
        <v>308876</v>
      </c>
    </row>
    <row r="205" spans="1:16" s="740" customFormat="1" x14ac:dyDescent="0.25">
      <c r="A205" s="775"/>
      <c r="B205" s="748" t="s">
        <v>381</v>
      </c>
      <c r="C205" s="733">
        <v>203650</v>
      </c>
      <c r="D205" s="734">
        <v>37227</v>
      </c>
      <c r="E205" s="734">
        <v>62585</v>
      </c>
      <c r="F205" s="735"/>
      <c r="G205" s="734"/>
      <c r="H205" s="736">
        <f>SUM(C205:G205)</f>
        <v>303462</v>
      </c>
      <c r="I205" s="746"/>
      <c r="J205" s="735"/>
      <c r="K205" s="735"/>
      <c r="L205" s="736">
        <f>SUM(I205:K205)</f>
        <v>0</v>
      </c>
      <c r="M205" s="736">
        <f>SUM(H205+L205)</f>
        <v>303462</v>
      </c>
      <c r="N205" s="736"/>
      <c r="O205" s="736">
        <f>SUM(M205+N205)</f>
        <v>303462</v>
      </c>
    </row>
    <row r="206" spans="1:16" s="740" customFormat="1" x14ac:dyDescent="0.25">
      <c r="A206" s="775"/>
      <c r="B206" s="748" t="s">
        <v>380</v>
      </c>
      <c r="C206" s="733">
        <v>4405</v>
      </c>
      <c r="D206" s="734">
        <v>979</v>
      </c>
      <c r="E206" s="734">
        <v>30</v>
      </c>
      <c r="F206" s="735"/>
      <c r="G206" s="734"/>
      <c r="H206" s="736">
        <f>SUM(C206:G206)</f>
        <v>5414</v>
      </c>
      <c r="I206" s="746"/>
      <c r="J206" s="735"/>
      <c r="K206" s="735"/>
      <c r="L206" s="736">
        <f>SUM(I206:K206)</f>
        <v>0</v>
      </c>
      <c r="M206" s="736">
        <f>SUM(H206+L206)</f>
        <v>5414</v>
      </c>
      <c r="N206" s="736"/>
      <c r="O206" s="736">
        <f>SUM(M206+N206)</f>
        <v>5414</v>
      </c>
    </row>
    <row r="207" spans="1:16" s="740" customFormat="1" x14ac:dyDescent="0.25">
      <c r="A207" s="775"/>
      <c r="B207" s="732" t="s">
        <v>131</v>
      </c>
      <c r="C207" s="733"/>
      <c r="D207" s="734"/>
      <c r="E207" s="734"/>
      <c r="F207" s="735"/>
      <c r="G207" s="734"/>
      <c r="H207" s="736"/>
      <c r="I207" s="746"/>
      <c r="J207" s="735"/>
      <c r="K207" s="735"/>
      <c r="L207" s="736"/>
      <c r="M207" s="739"/>
      <c r="N207" s="739"/>
      <c r="O207" s="739"/>
    </row>
    <row r="208" spans="1:16" s="740" customFormat="1" ht="31.5" x14ac:dyDescent="0.25">
      <c r="A208" s="775"/>
      <c r="B208" s="679" t="s">
        <v>564</v>
      </c>
      <c r="C208" s="762"/>
      <c r="D208" s="763"/>
      <c r="E208" s="763">
        <v>-26</v>
      </c>
      <c r="F208" s="764"/>
      <c r="G208" s="763"/>
      <c r="H208" s="749">
        <f t="shared" ref="H208:H209" si="129">SUM(C208:G208)</f>
        <v>-26</v>
      </c>
      <c r="I208" s="767">
        <v>26</v>
      </c>
      <c r="J208" s="764"/>
      <c r="K208" s="764"/>
      <c r="L208" s="749">
        <f t="shared" ref="L208:L209" si="130">SUM(I208:K208)</f>
        <v>26</v>
      </c>
      <c r="M208" s="750">
        <f t="shared" ref="M208:M209" si="131">SUM(H208+L208)</f>
        <v>0</v>
      </c>
      <c r="N208" s="739"/>
      <c r="O208" s="750">
        <f t="shared" ref="O208:O209" si="132">SUM(M208+N208)</f>
        <v>0</v>
      </c>
    </row>
    <row r="209" spans="1:16" s="740" customFormat="1" ht="31.5" x14ac:dyDescent="0.25">
      <c r="A209" s="775"/>
      <c r="B209" s="679" t="s">
        <v>915</v>
      </c>
      <c r="C209" s="762"/>
      <c r="D209" s="763"/>
      <c r="E209" s="763">
        <v>5331</v>
      </c>
      <c r="F209" s="764"/>
      <c r="G209" s="763"/>
      <c r="H209" s="749">
        <f t="shared" si="129"/>
        <v>5331</v>
      </c>
      <c r="I209" s="767"/>
      <c r="J209" s="764"/>
      <c r="K209" s="764"/>
      <c r="L209" s="749">
        <f t="shared" si="130"/>
        <v>0</v>
      </c>
      <c r="M209" s="750">
        <f t="shared" si="131"/>
        <v>5331</v>
      </c>
      <c r="N209" s="739"/>
      <c r="O209" s="750">
        <f t="shared" si="132"/>
        <v>5331</v>
      </c>
    </row>
    <row r="210" spans="1:16" s="740" customFormat="1" ht="16.5" thickBot="1" x14ac:dyDescent="0.3">
      <c r="A210" s="775"/>
      <c r="B210" s="732" t="s">
        <v>132</v>
      </c>
      <c r="C210" s="762"/>
      <c r="D210" s="763"/>
      <c r="E210" s="763"/>
      <c r="F210" s="764"/>
      <c r="G210" s="763"/>
      <c r="H210" s="749"/>
      <c r="I210" s="767"/>
      <c r="J210" s="764"/>
      <c r="K210" s="764"/>
      <c r="L210" s="749"/>
      <c r="M210" s="750"/>
      <c r="N210" s="739"/>
      <c r="O210" s="750"/>
    </row>
    <row r="211" spans="1:16" ht="17.25" thickTop="1" thickBot="1" x14ac:dyDescent="0.3">
      <c r="A211" s="743"/>
      <c r="B211" s="744" t="s">
        <v>379</v>
      </c>
      <c r="C211" s="745">
        <f>+C204+C208+C209</f>
        <v>208055</v>
      </c>
      <c r="D211" s="745">
        <f t="shared" ref="D211:O211" si="133">+D204+D208+D209</f>
        <v>38206</v>
      </c>
      <c r="E211" s="745">
        <f t="shared" si="133"/>
        <v>67920</v>
      </c>
      <c r="F211" s="745">
        <f t="shared" si="133"/>
        <v>0</v>
      </c>
      <c r="G211" s="745">
        <f t="shared" si="133"/>
        <v>0</v>
      </c>
      <c r="H211" s="745">
        <f t="shared" si="133"/>
        <v>314181</v>
      </c>
      <c r="I211" s="745">
        <f t="shared" si="133"/>
        <v>26</v>
      </c>
      <c r="J211" s="745">
        <f t="shared" si="133"/>
        <v>0</v>
      </c>
      <c r="K211" s="745">
        <f t="shared" si="133"/>
        <v>0</v>
      </c>
      <c r="L211" s="745">
        <f t="shared" si="133"/>
        <v>26</v>
      </c>
      <c r="M211" s="745">
        <f t="shared" si="133"/>
        <v>314207</v>
      </c>
      <c r="N211" s="745">
        <f t="shared" si="133"/>
        <v>0</v>
      </c>
      <c r="O211" s="745">
        <f t="shared" si="133"/>
        <v>314207</v>
      </c>
      <c r="P211" s="650">
        <f>O212+O213</f>
        <v>314207</v>
      </c>
    </row>
    <row r="212" spans="1:16" ht="17.25" thickTop="1" thickBot="1" x14ac:dyDescent="0.3">
      <c r="A212" s="743"/>
      <c r="B212" s="744" t="s">
        <v>378</v>
      </c>
      <c r="C212" s="745">
        <f>+C205+C208+C209</f>
        <v>203650</v>
      </c>
      <c r="D212" s="745">
        <f t="shared" ref="D212:O212" si="134">+D205+D208+D209</f>
        <v>37227</v>
      </c>
      <c r="E212" s="745">
        <f t="shared" si="134"/>
        <v>67890</v>
      </c>
      <c r="F212" s="745">
        <f t="shared" si="134"/>
        <v>0</v>
      </c>
      <c r="G212" s="745">
        <f t="shared" si="134"/>
        <v>0</v>
      </c>
      <c r="H212" s="745">
        <f t="shared" si="134"/>
        <v>308767</v>
      </c>
      <c r="I212" s="745">
        <f t="shared" si="134"/>
        <v>26</v>
      </c>
      <c r="J212" s="745">
        <f t="shared" si="134"/>
        <v>0</v>
      </c>
      <c r="K212" s="745">
        <f t="shared" si="134"/>
        <v>0</v>
      </c>
      <c r="L212" s="745">
        <f t="shared" si="134"/>
        <v>26</v>
      </c>
      <c r="M212" s="745">
        <f t="shared" si="134"/>
        <v>308793</v>
      </c>
      <c r="N212" s="745">
        <f t="shared" si="134"/>
        <v>0</v>
      </c>
      <c r="O212" s="745">
        <f t="shared" si="134"/>
        <v>308793</v>
      </c>
    </row>
    <row r="213" spans="1:16" ht="17.25" thickTop="1" thickBot="1" x14ac:dyDescent="0.3">
      <c r="A213" s="743"/>
      <c r="B213" s="744" t="s">
        <v>377</v>
      </c>
      <c r="C213" s="745">
        <f>+C206</f>
        <v>4405</v>
      </c>
      <c r="D213" s="745">
        <f t="shared" ref="D213:O213" si="135">+D206</f>
        <v>979</v>
      </c>
      <c r="E213" s="745">
        <f t="shared" si="135"/>
        <v>30</v>
      </c>
      <c r="F213" s="745">
        <f t="shared" si="135"/>
        <v>0</v>
      </c>
      <c r="G213" s="745">
        <f t="shared" si="135"/>
        <v>0</v>
      </c>
      <c r="H213" s="745">
        <f t="shared" si="135"/>
        <v>5414</v>
      </c>
      <c r="I213" s="745">
        <f t="shared" si="135"/>
        <v>0</v>
      </c>
      <c r="J213" s="745">
        <f t="shared" si="135"/>
        <v>0</v>
      </c>
      <c r="K213" s="745">
        <f t="shared" si="135"/>
        <v>0</v>
      </c>
      <c r="L213" s="745">
        <f t="shared" si="135"/>
        <v>0</v>
      </c>
      <c r="M213" s="745">
        <f t="shared" si="135"/>
        <v>5414</v>
      </c>
      <c r="N213" s="745">
        <f t="shared" si="135"/>
        <v>0</v>
      </c>
      <c r="O213" s="745">
        <f t="shared" si="135"/>
        <v>5414</v>
      </c>
    </row>
    <row r="214" spans="1:16" ht="16.5" thickTop="1" x14ac:dyDescent="0.25">
      <c r="A214" s="723" t="s">
        <v>9</v>
      </c>
      <c r="B214" s="724" t="s">
        <v>397</v>
      </c>
      <c r="C214" s="725"/>
      <c r="D214" s="726"/>
      <c r="E214" s="726"/>
      <c r="F214" s="742"/>
      <c r="G214" s="726"/>
      <c r="H214" s="728"/>
      <c r="I214" s="729"/>
      <c r="J214" s="727"/>
      <c r="K214" s="727"/>
      <c r="L214" s="728"/>
      <c r="M214" s="728"/>
      <c r="N214" s="728"/>
      <c r="O214" s="728"/>
    </row>
    <row r="215" spans="1:16" x14ac:dyDescent="0.25">
      <c r="A215" s="723"/>
      <c r="B215" s="679" t="s">
        <v>347</v>
      </c>
      <c r="C215" s="725">
        <f>SUM(C216:C217)</f>
        <v>138976</v>
      </c>
      <c r="D215" s="725">
        <f>SUM(D216:D217)</f>
        <v>25210</v>
      </c>
      <c r="E215" s="725">
        <f>SUM(E216:E217)</f>
        <v>55819</v>
      </c>
      <c r="F215" s="742"/>
      <c r="G215" s="726"/>
      <c r="H215" s="728">
        <f>SUM(C215:G215)</f>
        <v>220005</v>
      </c>
      <c r="I215" s="729"/>
      <c r="J215" s="727"/>
      <c r="K215" s="727"/>
      <c r="L215" s="728">
        <f>SUM(I215:K215)</f>
        <v>0</v>
      </c>
      <c r="M215" s="730">
        <f>SUM(H215+L215)</f>
        <v>220005</v>
      </c>
      <c r="N215" s="730"/>
      <c r="O215" s="730">
        <f>SUM(M215+N215)</f>
        <v>220005</v>
      </c>
    </row>
    <row r="216" spans="1:16" s="740" customFormat="1" x14ac:dyDescent="0.25">
      <c r="A216" s="731"/>
      <c r="B216" s="732" t="s">
        <v>381</v>
      </c>
      <c r="C216" s="733">
        <v>135809</v>
      </c>
      <c r="D216" s="734">
        <v>24490</v>
      </c>
      <c r="E216" s="734">
        <v>55739</v>
      </c>
      <c r="F216" s="738"/>
      <c r="G216" s="734"/>
      <c r="H216" s="736">
        <f>SUM(C216:G216)</f>
        <v>216038</v>
      </c>
      <c r="I216" s="746"/>
      <c r="J216" s="735"/>
      <c r="K216" s="735"/>
      <c r="L216" s="736">
        <f>SUM(I216:K216)</f>
        <v>0</v>
      </c>
      <c r="M216" s="739">
        <f>SUM(H216+L216)</f>
        <v>216038</v>
      </c>
      <c r="N216" s="739"/>
      <c r="O216" s="739">
        <f>SUM(M216+N216)</f>
        <v>216038</v>
      </c>
    </row>
    <row r="217" spans="1:16" s="740" customFormat="1" x14ac:dyDescent="0.25">
      <c r="A217" s="731"/>
      <c r="B217" s="732" t="s">
        <v>380</v>
      </c>
      <c r="C217" s="733">
        <v>3167</v>
      </c>
      <c r="D217" s="734">
        <v>720</v>
      </c>
      <c r="E217" s="734">
        <v>80</v>
      </c>
      <c r="F217" s="738"/>
      <c r="G217" s="734"/>
      <c r="H217" s="736">
        <f>SUM(C217:G217)</f>
        <v>3967</v>
      </c>
      <c r="I217" s="746"/>
      <c r="J217" s="735"/>
      <c r="K217" s="735"/>
      <c r="L217" s="736">
        <f>SUM(I217:K217)</f>
        <v>0</v>
      </c>
      <c r="M217" s="739">
        <f>SUM(H217+L217)</f>
        <v>3967</v>
      </c>
      <c r="N217" s="739"/>
      <c r="O217" s="739">
        <f>SUM(M217+N217)</f>
        <v>3967</v>
      </c>
    </row>
    <row r="218" spans="1:16" s="740" customFormat="1" x14ac:dyDescent="0.25">
      <c r="A218" s="731"/>
      <c r="B218" s="732" t="s">
        <v>131</v>
      </c>
      <c r="C218" s="733"/>
      <c r="D218" s="734"/>
      <c r="E218" s="734"/>
      <c r="F218" s="738"/>
      <c r="G218" s="734"/>
      <c r="H218" s="736"/>
      <c r="I218" s="746"/>
      <c r="J218" s="735"/>
      <c r="K218" s="735"/>
      <c r="L218" s="736"/>
      <c r="M218" s="739"/>
      <c r="N218" s="739"/>
      <c r="O218" s="739"/>
    </row>
    <row r="219" spans="1:16" s="740" customFormat="1" ht="31.5" x14ac:dyDescent="0.25">
      <c r="A219" s="731"/>
      <c r="B219" s="679" t="s">
        <v>915</v>
      </c>
      <c r="C219" s="762"/>
      <c r="D219" s="763"/>
      <c r="E219" s="763">
        <v>658</v>
      </c>
      <c r="F219" s="766"/>
      <c r="G219" s="734"/>
      <c r="H219" s="749">
        <f t="shared" ref="H219" si="136">SUM(C219:G219)</f>
        <v>658</v>
      </c>
      <c r="I219" s="767">
        <v>56</v>
      </c>
      <c r="J219" s="735"/>
      <c r="K219" s="735"/>
      <c r="L219" s="749">
        <f t="shared" ref="L219" si="137">SUM(I219:K219)</f>
        <v>56</v>
      </c>
      <c r="M219" s="750">
        <f t="shared" ref="M219" si="138">SUM(H219+L219)</f>
        <v>714</v>
      </c>
      <c r="N219" s="739"/>
      <c r="O219" s="750">
        <f t="shared" ref="O219" si="139">SUM(M219+N219)</f>
        <v>714</v>
      </c>
    </row>
    <row r="220" spans="1:16" s="740" customFormat="1" x14ac:dyDescent="0.25">
      <c r="A220" s="731"/>
      <c r="B220" s="732" t="s">
        <v>132</v>
      </c>
      <c r="C220" s="762"/>
      <c r="D220" s="763"/>
      <c r="E220" s="763"/>
      <c r="F220" s="766"/>
      <c r="G220" s="734"/>
      <c r="H220" s="749"/>
      <c r="I220" s="746"/>
      <c r="J220" s="735"/>
      <c r="K220" s="735"/>
      <c r="L220" s="749"/>
      <c r="M220" s="750"/>
      <c r="N220" s="739"/>
      <c r="O220" s="750"/>
    </row>
    <row r="221" spans="1:16" s="740" customFormat="1" ht="32.25" thickBot="1" x14ac:dyDescent="0.3">
      <c r="A221" s="731"/>
      <c r="B221" s="679" t="s">
        <v>1218</v>
      </c>
      <c r="C221" s="762"/>
      <c r="D221" s="763"/>
      <c r="E221" s="763">
        <v>-50</v>
      </c>
      <c r="F221" s="766"/>
      <c r="G221" s="734"/>
      <c r="H221" s="749">
        <f>SUM(C221:G221)</f>
        <v>-50</v>
      </c>
      <c r="I221" s="746"/>
      <c r="J221" s="735"/>
      <c r="K221" s="735"/>
      <c r="L221" s="749">
        <f>SUM(I221:K221)</f>
        <v>0</v>
      </c>
      <c r="M221" s="750">
        <f>SUM(H221+L221)</f>
        <v>-50</v>
      </c>
      <c r="N221" s="739"/>
      <c r="O221" s="750">
        <f>SUM(M221+N221)</f>
        <v>-50</v>
      </c>
    </row>
    <row r="222" spans="1:16" ht="17.25" thickTop="1" thickBot="1" x14ac:dyDescent="0.3">
      <c r="A222" s="743"/>
      <c r="B222" s="744" t="s">
        <v>379</v>
      </c>
      <c r="C222" s="745">
        <f>+C215+C219+C221</f>
        <v>138976</v>
      </c>
      <c r="D222" s="745">
        <f t="shared" ref="D222:O222" si="140">+D215+D219+D221</f>
        <v>25210</v>
      </c>
      <c r="E222" s="745">
        <f t="shared" si="140"/>
        <v>56427</v>
      </c>
      <c r="F222" s="745">
        <f t="shared" si="140"/>
        <v>0</v>
      </c>
      <c r="G222" s="745">
        <f t="shared" si="140"/>
        <v>0</v>
      </c>
      <c r="H222" s="745">
        <f t="shared" si="140"/>
        <v>220613</v>
      </c>
      <c r="I222" s="745">
        <f t="shared" si="140"/>
        <v>56</v>
      </c>
      <c r="J222" s="745">
        <f t="shared" si="140"/>
        <v>0</v>
      </c>
      <c r="K222" s="745">
        <f t="shared" si="140"/>
        <v>0</v>
      </c>
      <c r="L222" s="745">
        <f t="shared" si="140"/>
        <v>56</v>
      </c>
      <c r="M222" s="745">
        <f t="shared" si="140"/>
        <v>220669</v>
      </c>
      <c r="N222" s="745">
        <f t="shared" si="140"/>
        <v>0</v>
      </c>
      <c r="O222" s="745">
        <f t="shared" si="140"/>
        <v>220669</v>
      </c>
      <c r="P222" s="650">
        <f>O223+O224</f>
        <v>220669</v>
      </c>
    </row>
    <row r="223" spans="1:16" ht="17.25" thickTop="1" thickBot="1" x14ac:dyDescent="0.3">
      <c r="A223" s="743"/>
      <c r="B223" s="744" t="s">
        <v>378</v>
      </c>
      <c r="C223" s="745">
        <f>+C216+C219</f>
        <v>135809</v>
      </c>
      <c r="D223" s="745">
        <f t="shared" ref="D223:O223" si="141">+D216+D219</f>
        <v>24490</v>
      </c>
      <c r="E223" s="745">
        <f t="shared" si="141"/>
        <v>56397</v>
      </c>
      <c r="F223" s="745">
        <f t="shared" si="141"/>
        <v>0</v>
      </c>
      <c r="G223" s="745">
        <f t="shared" si="141"/>
        <v>0</v>
      </c>
      <c r="H223" s="745">
        <f t="shared" si="141"/>
        <v>216696</v>
      </c>
      <c r="I223" s="745">
        <f t="shared" si="141"/>
        <v>56</v>
      </c>
      <c r="J223" s="745">
        <f t="shared" si="141"/>
        <v>0</v>
      </c>
      <c r="K223" s="745">
        <f t="shared" si="141"/>
        <v>0</v>
      </c>
      <c r="L223" s="745">
        <f t="shared" si="141"/>
        <v>56</v>
      </c>
      <c r="M223" s="745">
        <f t="shared" si="141"/>
        <v>216752</v>
      </c>
      <c r="N223" s="745">
        <f t="shared" si="141"/>
        <v>0</v>
      </c>
      <c r="O223" s="745">
        <f t="shared" si="141"/>
        <v>216752</v>
      </c>
    </row>
    <row r="224" spans="1:16" ht="17.25" thickTop="1" thickBot="1" x14ac:dyDescent="0.3">
      <c r="A224" s="743"/>
      <c r="B224" s="744" t="s">
        <v>377</v>
      </c>
      <c r="C224" s="745">
        <f>+C217+C221</f>
        <v>3167</v>
      </c>
      <c r="D224" s="745">
        <f t="shared" ref="D224:O224" si="142">+D217+D221</f>
        <v>720</v>
      </c>
      <c r="E224" s="745">
        <f t="shared" si="142"/>
        <v>30</v>
      </c>
      <c r="F224" s="745">
        <f t="shared" si="142"/>
        <v>0</v>
      </c>
      <c r="G224" s="745">
        <f t="shared" si="142"/>
        <v>0</v>
      </c>
      <c r="H224" s="745">
        <f t="shared" si="142"/>
        <v>3917</v>
      </c>
      <c r="I224" s="745">
        <f t="shared" si="142"/>
        <v>0</v>
      </c>
      <c r="J224" s="745">
        <f t="shared" si="142"/>
        <v>0</v>
      </c>
      <c r="K224" s="745">
        <f t="shared" si="142"/>
        <v>0</v>
      </c>
      <c r="L224" s="745">
        <f t="shared" si="142"/>
        <v>0</v>
      </c>
      <c r="M224" s="745">
        <f t="shared" si="142"/>
        <v>3917</v>
      </c>
      <c r="N224" s="745">
        <f t="shared" si="142"/>
        <v>0</v>
      </c>
      <c r="O224" s="745">
        <f t="shared" si="142"/>
        <v>3917</v>
      </c>
    </row>
    <row r="225" spans="1:16" ht="16.5" thickTop="1" x14ac:dyDescent="0.25">
      <c r="A225" s="768" t="s">
        <v>10</v>
      </c>
      <c r="B225" s="769" t="s">
        <v>396</v>
      </c>
      <c r="C225" s="770"/>
      <c r="D225" s="771"/>
      <c r="E225" s="771"/>
      <c r="F225" s="772"/>
      <c r="G225" s="771"/>
      <c r="H225" s="773"/>
      <c r="I225" s="774"/>
      <c r="J225" s="772"/>
      <c r="K225" s="772"/>
      <c r="L225" s="773"/>
      <c r="M225" s="773"/>
      <c r="N225" s="773"/>
      <c r="O225" s="773"/>
    </row>
    <row r="226" spans="1:16" x14ac:dyDescent="0.25">
      <c r="A226" s="747"/>
      <c r="B226" s="724" t="s">
        <v>347</v>
      </c>
      <c r="C226" s="725">
        <f>SUM(C227:C228)</f>
        <v>162362</v>
      </c>
      <c r="D226" s="725">
        <f>SUM(D227:D228)</f>
        <v>29605</v>
      </c>
      <c r="E226" s="725">
        <f>SUM(E227:E228)</f>
        <v>52204</v>
      </c>
      <c r="F226" s="727"/>
      <c r="G226" s="726"/>
      <c r="H226" s="728">
        <f>SUM(C226:G226)</f>
        <v>244171</v>
      </c>
      <c r="I226" s="729"/>
      <c r="J226" s="727"/>
      <c r="K226" s="727"/>
      <c r="L226" s="728">
        <f>SUM(I226:K226)</f>
        <v>0</v>
      </c>
      <c r="M226" s="730">
        <f>SUM(H226+L226)</f>
        <v>244171</v>
      </c>
      <c r="N226" s="730"/>
      <c r="O226" s="730">
        <f>SUM(M226+N226)</f>
        <v>244171</v>
      </c>
    </row>
    <row r="227" spans="1:16" s="740" customFormat="1" x14ac:dyDescent="0.25">
      <c r="A227" s="731"/>
      <c r="B227" s="732" t="s">
        <v>381</v>
      </c>
      <c r="C227" s="733">
        <v>158773</v>
      </c>
      <c r="D227" s="734">
        <v>28808</v>
      </c>
      <c r="E227" s="734">
        <v>52134</v>
      </c>
      <c r="F227" s="735"/>
      <c r="G227" s="734"/>
      <c r="H227" s="736">
        <f>SUM(C227:G227)</f>
        <v>239715</v>
      </c>
      <c r="I227" s="746"/>
      <c r="J227" s="735"/>
      <c r="K227" s="735"/>
      <c r="L227" s="736">
        <f>SUM(I227:K227)</f>
        <v>0</v>
      </c>
      <c r="M227" s="739">
        <f>SUM(H227+L227)</f>
        <v>239715</v>
      </c>
      <c r="N227" s="739"/>
      <c r="O227" s="739">
        <f>SUM(M227+N227)</f>
        <v>239715</v>
      </c>
    </row>
    <row r="228" spans="1:16" s="740" customFormat="1" x14ac:dyDescent="0.25">
      <c r="A228" s="731"/>
      <c r="B228" s="732" t="s">
        <v>380</v>
      </c>
      <c r="C228" s="733">
        <v>3589</v>
      </c>
      <c r="D228" s="734">
        <v>797</v>
      </c>
      <c r="E228" s="734">
        <v>70</v>
      </c>
      <c r="F228" s="735"/>
      <c r="G228" s="734"/>
      <c r="H228" s="736">
        <f>SUM(C228:G228)</f>
        <v>4456</v>
      </c>
      <c r="I228" s="746"/>
      <c r="J228" s="735"/>
      <c r="K228" s="735"/>
      <c r="L228" s="736">
        <f>SUM(I228:K228)</f>
        <v>0</v>
      </c>
      <c r="M228" s="739">
        <f>SUM(H228+L228)</f>
        <v>4456</v>
      </c>
      <c r="N228" s="739"/>
      <c r="O228" s="739">
        <f>SUM(M228+N228)</f>
        <v>4456</v>
      </c>
    </row>
    <row r="229" spans="1:16" s="740" customFormat="1" x14ac:dyDescent="0.25">
      <c r="A229" s="731"/>
      <c r="B229" s="732" t="s">
        <v>131</v>
      </c>
      <c r="C229" s="733"/>
      <c r="D229" s="734"/>
      <c r="E229" s="734"/>
      <c r="F229" s="735"/>
      <c r="G229" s="734"/>
      <c r="H229" s="736"/>
      <c r="I229" s="746"/>
      <c r="J229" s="735"/>
      <c r="K229" s="735"/>
      <c r="L229" s="736"/>
      <c r="M229" s="739"/>
      <c r="N229" s="739"/>
      <c r="O229" s="739"/>
    </row>
    <row r="230" spans="1:16" s="740" customFormat="1" ht="31.5" x14ac:dyDescent="0.25">
      <c r="A230" s="731"/>
      <c r="B230" s="679" t="s">
        <v>915</v>
      </c>
      <c r="C230" s="762"/>
      <c r="D230" s="763"/>
      <c r="E230" s="763">
        <v>1838</v>
      </c>
      <c r="F230" s="764"/>
      <c r="G230" s="734"/>
      <c r="H230" s="749">
        <f t="shared" ref="H230" si="143">SUM(C230:G230)</f>
        <v>1838</v>
      </c>
      <c r="I230" s="746"/>
      <c r="J230" s="735"/>
      <c r="K230" s="735"/>
      <c r="L230" s="749">
        <f t="shared" ref="L230" si="144">SUM(I230:K230)</f>
        <v>0</v>
      </c>
      <c r="M230" s="750">
        <f t="shared" ref="M230" si="145">SUM(H230+L230)</f>
        <v>1838</v>
      </c>
      <c r="N230" s="739"/>
      <c r="O230" s="750">
        <f t="shared" ref="O230" si="146">SUM(M230+N230)</f>
        <v>1838</v>
      </c>
    </row>
    <row r="231" spans="1:16" s="740" customFormat="1" ht="16.5" thickBot="1" x14ac:dyDescent="0.3">
      <c r="A231" s="731"/>
      <c r="B231" s="732" t="s">
        <v>132</v>
      </c>
      <c r="C231" s="762"/>
      <c r="D231" s="763"/>
      <c r="E231" s="763"/>
      <c r="F231" s="764"/>
      <c r="G231" s="734"/>
      <c r="H231" s="749"/>
      <c r="I231" s="746"/>
      <c r="J231" s="735"/>
      <c r="K231" s="735"/>
      <c r="L231" s="749"/>
      <c r="M231" s="750"/>
      <c r="N231" s="739"/>
      <c r="O231" s="750"/>
    </row>
    <row r="232" spans="1:16" ht="17.25" thickTop="1" thickBot="1" x14ac:dyDescent="0.3">
      <c r="A232" s="743"/>
      <c r="B232" s="744" t="s">
        <v>379</v>
      </c>
      <c r="C232" s="745">
        <f>+C226+C230</f>
        <v>162362</v>
      </c>
      <c r="D232" s="745">
        <f t="shared" ref="D232:O232" si="147">+D226+D230</f>
        <v>29605</v>
      </c>
      <c r="E232" s="745">
        <f t="shared" si="147"/>
        <v>54042</v>
      </c>
      <c r="F232" s="745">
        <f t="shared" si="147"/>
        <v>0</v>
      </c>
      <c r="G232" s="745">
        <f t="shared" si="147"/>
        <v>0</v>
      </c>
      <c r="H232" s="745">
        <f t="shared" si="147"/>
        <v>246009</v>
      </c>
      <c r="I232" s="745">
        <f t="shared" si="147"/>
        <v>0</v>
      </c>
      <c r="J232" s="745">
        <f t="shared" si="147"/>
        <v>0</v>
      </c>
      <c r="K232" s="745">
        <f t="shared" si="147"/>
        <v>0</v>
      </c>
      <c r="L232" s="745">
        <f t="shared" si="147"/>
        <v>0</v>
      </c>
      <c r="M232" s="745">
        <f t="shared" si="147"/>
        <v>246009</v>
      </c>
      <c r="N232" s="745">
        <f t="shared" si="147"/>
        <v>0</v>
      </c>
      <c r="O232" s="745">
        <f t="shared" si="147"/>
        <v>246009</v>
      </c>
      <c r="P232" s="650">
        <f>O233+O234</f>
        <v>246009</v>
      </c>
    </row>
    <row r="233" spans="1:16" ht="17.25" thickTop="1" thickBot="1" x14ac:dyDescent="0.3">
      <c r="A233" s="743"/>
      <c r="B233" s="744" t="s">
        <v>378</v>
      </c>
      <c r="C233" s="745">
        <f>+C227+C230</f>
        <v>158773</v>
      </c>
      <c r="D233" s="745">
        <f t="shared" ref="D233:O233" si="148">+D227+D230</f>
        <v>28808</v>
      </c>
      <c r="E233" s="745">
        <f t="shared" si="148"/>
        <v>53972</v>
      </c>
      <c r="F233" s="745">
        <f t="shared" si="148"/>
        <v>0</v>
      </c>
      <c r="G233" s="745">
        <f t="shared" si="148"/>
        <v>0</v>
      </c>
      <c r="H233" s="745">
        <f t="shared" si="148"/>
        <v>241553</v>
      </c>
      <c r="I233" s="745">
        <f t="shared" si="148"/>
        <v>0</v>
      </c>
      <c r="J233" s="745">
        <f t="shared" si="148"/>
        <v>0</v>
      </c>
      <c r="K233" s="745">
        <f t="shared" si="148"/>
        <v>0</v>
      </c>
      <c r="L233" s="745">
        <f t="shared" si="148"/>
        <v>0</v>
      </c>
      <c r="M233" s="745">
        <f t="shared" si="148"/>
        <v>241553</v>
      </c>
      <c r="N233" s="745">
        <f t="shared" si="148"/>
        <v>0</v>
      </c>
      <c r="O233" s="745">
        <f t="shared" si="148"/>
        <v>241553</v>
      </c>
    </row>
    <row r="234" spans="1:16" ht="17.25" thickTop="1" thickBot="1" x14ac:dyDescent="0.3">
      <c r="A234" s="743"/>
      <c r="B234" s="744" t="s">
        <v>377</v>
      </c>
      <c r="C234" s="745">
        <f>+C228</f>
        <v>3589</v>
      </c>
      <c r="D234" s="745">
        <f t="shared" ref="D234:O234" si="149">+D228</f>
        <v>797</v>
      </c>
      <c r="E234" s="745">
        <f t="shared" si="149"/>
        <v>70</v>
      </c>
      <c r="F234" s="745">
        <f t="shared" si="149"/>
        <v>0</v>
      </c>
      <c r="G234" s="745">
        <f t="shared" si="149"/>
        <v>0</v>
      </c>
      <c r="H234" s="745">
        <f t="shared" si="149"/>
        <v>4456</v>
      </c>
      <c r="I234" s="745">
        <f t="shared" si="149"/>
        <v>0</v>
      </c>
      <c r="J234" s="745">
        <f t="shared" si="149"/>
        <v>0</v>
      </c>
      <c r="K234" s="745">
        <f t="shared" si="149"/>
        <v>0</v>
      </c>
      <c r="L234" s="745">
        <f t="shared" si="149"/>
        <v>0</v>
      </c>
      <c r="M234" s="745">
        <f t="shared" si="149"/>
        <v>4456</v>
      </c>
      <c r="N234" s="745">
        <f t="shared" si="149"/>
        <v>0</v>
      </c>
      <c r="O234" s="745">
        <f t="shared" si="149"/>
        <v>4456</v>
      </c>
    </row>
    <row r="235" spans="1:16" ht="17.25" thickTop="1" thickBot="1" x14ac:dyDescent="0.3">
      <c r="A235" s="743"/>
      <c r="B235" s="744" t="s">
        <v>395</v>
      </c>
      <c r="C235" s="745">
        <f t="shared" ref="C235:O235" si="150">SUM(C108+C121+C134+C145+C157+C167+C178+C189+C200+C211+C222+C232)</f>
        <v>1901532</v>
      </c>
      <c r="D235" s="745">
        <f t="shared" si="150"/>
        <v>346615</v>
      </c>
      <c r="E235" s="745">
        <f t="shared" si="150"/>
        <v>649165</v>
      </c>
      <c r="F235" s="745">
        <f t="shared" si="150"/>
        <v>0</v>
      </c>
      <c r="G235" s="745">
        <f t="shared" si="150"/>
        <v>285</v>
      </c>
      <c r="H235" s="745">
        <f t="shared" si="150"/>
        <v>2897597</v>
      </c>
      <c r="I235" s="745">
        <f t="shared" si="150"/>
        <v>2503</v>
      </c>
      <c r="J235" s="745">
        <f t="shared" si="150"/>
        <v>0</v>
      </c>
      <c r="K235" s="745">
        <f t="shared" si="150"/>
        <v>0</v>
      </c>
      <c r="L235" s="745">
        <f t="shared" si="150"/>
        <v>2503</v>
      </c>
      <c r="M235" s="745">
        <f t="shared" si="150"/>
        <v>2900100</v>
      </c>
      <c r="N235" s="745">
        <f t="shared" si="150"/>
        <v>0</v>
      </c>
      <c r="O235" s="745">
        <f t="shared" si="150"/>
        <v>2900100</v>
      </c>
    </row>
    <row r="236" spans="1:16" ht="17.25" thickTop="1" thickBot="1" x14ac:dyDescent="0.3">
      <c r="A236" s="743"/>
      <c r="B236" s="744" t="s">
        <v>394</v>
      </c>
      <c r="C236" s="745">
        <f t="shared" ref="C236:O236" si="151">SUM(C29+C99+C235)</f>
        <v>3285796</v>
      </c>
      <c r="D236" s="745">
        <f t="shared" si="151"/>
        <v>579868</v>
      </c>
      <c r="E236" s="745">
        <f t="shared" si="151"/>
        <v>1217664</v>
      </c>
      <c r="F236" s="745">
        <f t="shared" si="151"/>
        <v>0</v>
      </c>
      <c r="G236" s="745">
        <f t="shared" si="151"/>
        <v>285</v>
      </c>
      <c r="H236" s="745">
        <f t="shared" si="151"/>
        <v>5083613</v>
      </c>
      <c r="I236" s="745">
        <f t="shared" si="151"/>
        <v>17286</v>
      </c>
      <c r="J236" s="745">
        <f t="shared" si="151"/>
        <v>0</v>
      </c>
      <c r="K236" s="745">
        <f t="shared" si="151"/>
        <v>0</v>
      </c>
      <c r="L236" s="745">
        <f t="shared" si="151"/>
        <v>17286</v>
      </c>
      <c r="M236" s="745">
        <f t="shared" si="151"/>
        <v>5100899</v>
      </c>
      <c r="N236" s="745">
        <f t="shared" si="151"/>
        <v>0</v>
      </c>
      <c r="O236" s="745">
        <f t="shared" si="151"/>
        <v>5100899</v>
      </c>
    </row>
    <row r="237" spans="1:16" ht="16.5" thickTop="1" x14ac:dyDescent="0.25">
      <c r="A237" s="723" t="s">
        <v>11</v>
      </c>
      <c r="B237" s="724" t="s">
        <v>743</v>
      </c>
      <c r="C237" s="725"/>
      <c r="D237" s="726"/>
      <c r="E237" s="726"/>
      <c r="F237" s="742"/>
      <c r="G237" s="726"/>
      <c r="H237" s="728"/>
      <c r="I237" s="729"/>
      <c r="J237" s="727"/>
      <c r="K237" s="727"/>
      <c r="L237" s="728"/>
      <c r="M237" s="728"/>
      <c r="N237" s="728"/>
      <c r="O237" s="728"/>
    </row>
    <row r="238" spans="1:16" x14ac:dyDescent="0.25">
      <c r="A238" s="723"/>
      <c r="B238" s="679" t="s">
        <v>347</v>
      </c>
      <c r="C238" s="725">
        <f>SUM(C239:C240)</f>
        <v>852283</v>
      </c>
      <c r="D238" s="725">
        <f>SUM(D239:D240)</f>
        <v>155081</v>
      </c>
      <c r="E238" s="725">
        <f>SUM(E239:E240)</f>
        <v>505578</v>
      </c>
      <c r="F238" s="742"/>
      <c r="G238" s="726"/>
      <c r="H238" s="728">
        <f>SUM(C238:G238)</f>
        <v>1512942</v>
      </c>
      <c r="I238" s="729">
        <v>3888</v>
      </c>
      <c r="J238" s="727"/>
      <c r="K238" s="727"/>
      <c r="L238" s="728">
        <f>SUM(I238:K238)</f>
        <v>3888</v>
      </c>
      <c r="M238" s="730">
        <f>SUM(H238+L238)</f>
        <v>1516830</v>
      </c>
      <c r="N238" s="730"/>
      <c r="O238" s="730">
        <f>SUM(M238+N238)</f>
        <v>1516830</v>
      </c>
    </row>
    <row r="239" spans="1:16" s="740" customFormat="1" x14ac:dyDescent="0.25">
      <c r="A239" s="731"/>
      <c r="B239" s="732" t="s">
        <v>381</v>
      </c>
      <c r="C239" s="733">
        <v>819889</v>
      </c>
      <c r="D239" s="734">
        <v>148862</v>
      </c>
      <c r="E239" s="734">
        <v>505178</v>
      </c>
      <c r="F239" s="738"/>
      <c r="G239" s="734"/>
      <c r="H239" s="736">
        <f>SUM(C239:G239)</f>
        <v>1473929</v>
      </c>
      <c r="I239" s="746">
        <v>3888</v>
      </c>
      <c r="J239" s="735"/>
      <c r="K239" s="735"/>
      <c r="L239" s="736">
        <f>SUM(I239:K239)</f>
        <v>3888</v>
      </c>
      <c r="M239" s="739">
        <f>SUM(H239+L239)</f>
        <v>1477817</v>
      </c>
      <c r="N239" s="739"/>
      <c r="O239" s="739">
        <f>SUM(M239+N239)</f>
        <v>1477817</v>
      </c>
    </row>
    <row r="240" spans="1:16" s="740" customFormat="1" x14ac:dyDescent="0.25">
      <c r="A240" s="731"/>
      <c r="B240" s="732" t="s">
        <v>380</v>
      </c>
      <c r="C240" s="733">
        <v>32394</v>
      </c>
      <c r="D240" s="734">
        <v>6219</v>
      </c>
      <c r="E240" s="734">
        <v>400</v>
      </c>
      <c r="F240" s="738"/>
      <c r="G240" s="734"/>
      <c r="H240" s="736">
        <f>SUM(C240:G240)</f>
        <v>39013</v>
      </c>
      <c r="I240" s="746"/>
      <c r="J240" s="735"/>
      <c r="K240" s="735"/>
      <c r="L240" s="736">
        <f>SUM(I240:K240)</f>
        <v>0</v>
      </c>
      <c r="M240" s="739">
        <f>SUM(H240+L240)</f>
        <v>39013</v>
      </c>
      <c r="N240" s="739"/>
      <c r="O240" s="739">
        <f>SUM(M240+N240)</f>
        <v>39013</v>
      </c>
    </row>
    <row r="241" spans="1:16" s="740" customFormat="1" x14ac:dyDescent="0.25">
      <c r="A241" s="731"/>
      <c r="B241" s="732" t="s">
        <v>131</v>
      </c>
      <c r="C241" s="733"/>
      <c r="D241" s="734"/>
      <c r="E241" s="734"/>
      <c r="F241" s="738"/>
      <c r="G241" s="734"/>
      <c r="H241" s="736"/>
      <c r="I241" s="746"/>
      <c r="J241" s="735"/>
      <c r="K241" s="735"/>
      <c r="L241" s="736"/>
      <c r="M241" s="739"/>
      <c r="N241" s="739"/>
      <c r="O241" s="739"/>
    </row>
    <row r="242" spans="1:16" s="740" customFormat="1" ht="31.5" x14ac:dyDescent="0.25">
      <c r="A242" s="731"/>
      <c r="B242" s="679" t="s">
        <v>564</v>
      </c>
      <c r="C242" s="762"/>
      <c r="D242" s="763"/>
      <c r="E242" s="763">
        <f>-15691-72</f>
        <v>-15763</v>
      </c>
      <c r="F242" s="766">
        <v>72</v>
      </c>
      <c r="G242" s="734"/>
      <c r="H242" s="749">
        <f t="shared" ref="H242" si="152">SUM(C242:G242)</f>
        <v>-15691</v>
      </c>
      <c r="I242" s="767">
        <v>15691</v>
      </c>
      <c r="J242" s="735"/>
      <c r="K242" s="735"/>
      <c r="L242" s="749">
        <f t="shared" ref="L242" si="153">SUM(I242:K242)</f>
        <v>15691</v>
      </c>
      <c r="M242" s="750">
        <f t="shared" ref="M242" si="154">SUM(H242+L242)</f>
        <v>0</v>
      </c>
      <c r="N242" s="739"/>
      <c r="O242" s="750">
        <f t="shared" ref="O242" si="155">SUM(M242+N242)</f>
        <v>0</v>
      </c>
    </row>
    <row r="243" spans="1:16" s="740" customFormat="1" ht="16.5" thickBot="1" x14ac:dyDescent="0.3">
      <c r="A243" s="731"/>
      <c r="B243" s="732" t="s">
        <v>132</v>
      </c>
      <c r="C243" s="762"/>
      <c r="D243" s="763"/>
      <c r="E243" s="763"/>
      <c r="F243" s="766"/>
      <c r="G243" s="734"/>
      <c r="H243" s="749"/>
      <c r="I243" s="746"/>
      <c r="J243" s="735"/>
      <c r="K243" s="735"/>
      <c r="L243" s="749"/>
      <c r="M243" s="750"/>
      <c r="N243" s="739"/>
      <c r="O243" s="750"/>
    </row>
    <row r="244" spans="1:16" ht="17.25" thickTop="1" thickBot="1" x14ac:dyDescent="0.3">
      <c r="A244" s="743"/>
      <c r="B244" s="744" t="s">
        <v>379</v>
      </c>
      <c r="C244" s="745">
        <f>+C238+C242</f>
        <v>852283</v>
      </c>
      <c r="D244" s="745">
        <f t="shared" ref="D244:O244" si="156">+D238+D242</f>
        <v>155081</v>
      </c>
      <c r="E244" s="745">
        <f t="shared" si="156"/>
        <v>489815</v>
      </c>
      <c r="F244" s="745">
        <f t="shared" si="156"/>
        <v>72</v>
      </c>
      <c r="G244" s="745">
        <f t="shared" si="156"/>
        <v>0</v>
      </c>
      <c r="H244" s="745">
        <f t="shared" si="156"/>
        <v>1497251</v>
      </c>
      <c r="I244" s="745">
        <f t="shared" si="156"/>
        <v>19579</v>
      </c>
      <c r="J244" s="745">
        <f t="shared" si="156"/>
        <v>0</v>
      </c>
      <c r="K244" s="745">
        <f t="shared" si="156"/>
        <v>0</v>
      </c>
      <c r="L244" s="745">
        <f t="shared" si="156"/>
        <v>19579</v>
      </c>
      <c r="M244" s="745">
        <f t="shared" si="156"/>
        <v>1516830</v>
      </c>
      <c r="N244" s="745">
        <f t="shared" si="156"/>
        <v>0</v>
      </c>
      <c r="O244" s="745">
        <f t="shared" si="156"/>
        <v>1516830</v>
      </c>
      <c r="P244" s="650">
        <f>O245+O246</f>
        <v>1516830</v>
      </c>
    </row>
    <row r="245" spans="1:16" ht="17.25" thickTop="1" thickBot="1" x14ac:dyDescent="0.3">
      <c r="A245" s="743"/>
      <c r="B245" s="744" t="s">
        <v>378</v>
      </c>
      <c r="C245" s="745">
        <f>+C239+C242</f>
        <v>819889</v>
      </c>
      <c r="D245" s="745">
        <f t="shared" ref="D245:O245" si="157">+D239+D242</f>
        <v>148862</v>
      </c>
      <c r="E245" s="745">
        <f t="shared" si="157"/>
        <v>489415</v>
      </c>
      <c r="F245" s="745">
        <f t="shared" si="157"/>
        <v>72</v>
      </c>
      <c r="G245" s="745">
        <f t="shared" si="157"/>
        <v>0</v>
      </c>
      <c r="H245" s="745">
        <f t="shared" si="157"/>
        <v>1458238</v>
      </c>
      <c r="I245" s="745">
        <f t="shared" si="157"/>
        <v>19579</v>
      </c>
      <c r="J245" s="745">
        <f t="shared" si="157"/>
        <v>0</v>
      </c>
      <c r="K245" s="745">
        <f t="shared" si="157"/>
        <v>0</v>
      </c>
      <c r="L245" s="745">
        <f t="shared" si="157"/>
        <v>19579</v>
      </c>
      <c r="M245" s="745">
        <f t="shared" si="157"/>
        <v>1477817</v>
      </c>
      <c r="N245" s="745">
        <f t="shared" si="157"/>
        <v>0</v>
      </c>
      <c r="O245" s="745">
        <f t="shared" si="157"/>
        <v>1477817</v>
      </c>
    </row>
    <row r="246" spans="1:16" ht="17.25" thickTop="1" thickBot="1" x14ac:dyDescent="0.3">
      <c r="A246" s="743"/>
      <c r="B246" s="744" t="s">
        <v>377</v>
      </c>
      <c r="C246" s="745">
        <f>+C240</f>
        <v>32394</v>
      </c>
      <c r="D246" s="745">
        <f t="shared" ref="D246:O246" si="158">+D240</f>
        <v>6219</v>
      </c>
      <c r="E246" s="745">
        <f t="shared" si="158"/>
        <v>400</v>
      </c>
      <c r="F246" s="745">
        <f t="shared" si="158"/>
        <v>0</v>
      </c>
      <c r="G246" s="745">
        <f t="shared" si="158"/>
        <v>0</v>
      </c>
      <c r="H246" s="745">
        <f t="shared" si="158"/>
        <v>39013</v>
      </c>
      <c r="I246" s="745">
        <f t="shared" si="158"/>
        <v>0</v>
      </c>
      <c r="J246" s="745">
        <f t="shared" si="158"/>
        <v>0</v>
      </c>
      <c r="K246" s="745">
        <f t="shared" si="158"/>
        <v>0</v>
      </c>
      <c r="L246" s="745">
        <f t="shared" si="158"/>
        <v>0</v>
      </c>
      <c r="M246" s="745">
        <f t="shared" si="158"/>
        <v>39013</v>
      </c>
      <c r="N246" s="745">
        <f t="shared" si="158"/>
        <v>0</v>
      </c>
      <c r="O246" s="745">
        <f t="shared" si="158"/>
        <v>39013</v>
      </c>
    </row>
    <row r="247" spans="1:16" ht="32.25" thickTop="1" x14ac:dyDescent="0.25">
      <c r="A247" s="723" t="s">
        <v>12</v>
      </c>
      <c r="B247" s="724" t="s">
        <v>789</v>
      </c>
      <c r="C247" s="725"/>
      <c r="D247" s="726"/>
      <c r="E247" s="726"/>
      <c r="F247" s="742"/>
      <c r="G247" s="726"/>
      <c r="H247" s="728"/>
      <c r="I247" s="729"/>
      <c r="J247" s="727"/>
      <c r="K247" s="727"/>
      <c r="L247" s="728"/>
      <c r="M247" s="728"/>
      <c r="N247" s="728"/>
      <c r="O247" s="728"/>
    </row>
    <row r="248" spans="1:16" x14ac:dyDescent="0.25">
      <c r="A248" s="747"/>
      <c r="B248" s="724" t="s">
        <v>347</v>
      </c>
      <c r="C248" s="725">
        <f>SUM(C249:C250)</f>
        <v>346725</v>
      </c>
      <c r="D248" s="725">
        <f>SUM(D249:D250)</f>
        <v>61938</v>
      </c>
      <c r="E248" s="725">
        <f>SUM(E249:E250)</f>
        <v>101909</v>
      </c>
      <c r="F248" s="725">
        <f t="shared" ref="F248:G248" si="159">SUM(F249:F250)</f>
        <v>0</v>
      </c>
      <c r="G248" s="725">
        <f t="shared" si="159"/>
        <v>0</v>
      </c>
      <c r="H248" s="728">
        <f>SUM(C248:G248)</f>
        <v>510572</v>
      </c>
      <c r="I248" s="729">
        <f>SUM(I249:I250)</f>
        <v>6400</v>
      </c>
      <c r="J248" s="727">
        <f t="shared" ref="J248:K248" si="160">SUM(J249:J250)</f>
        <v>0</v>
      </c>
      <c r="K248" s="727">
        <f t="shared" si="160"/>
        <v>0</v>
      </c>
      <c r="L248" s="728">
        <f>SUM(I248:K248)</f>
        <v>6400</v>
      </c>
      <c r="M248" s="728">
        <f>SUM(H248+L248)</f>
        <v>516972</v>
      </c>
      <c r="N248" s="728"/>
      <c r="O248" s="728">
        <f>SUM(M248+N248)</f>
        <v>516972</v>
      </c>
    </row>
    <row r="249" spans="1:16" s="740" customFormat="1" x14ac:dyDescent="0.25">
      <c r="A249" s="775"/>
      <c r="B249" s="748" t="s">
        <v>381</v>
      </c>
      <c r="C249" s="733">
        <v>339678</v>
      </c>
      <c r="D249" s="734">
        <v>60474</v>
      </c>
      <c r="E249" s="734">
        <v>101859</v>
      </c>
      <c r="F249" s="735"/>
      <c r="G249" s="734"/>
      <c r="H249" s="736">
        <f>SUM(C249:G249)</f>
        <v>502011</v>
      </c>
      <c r="I249" s="746">
        <v>6400</v>
      </c>
      <c r="J249" s="735"/>
      <c r="K249" s="735"/>
      <c r="L249" s="736">
        <f>SUM(I249:K249)</f>
        <v>6400</v>
      </c>
      <c r="M249" s="736">
        <f>SUM(H249+L249)</f>
        <v>508411</v>
      </c>
      <c r="N249" s="736"/>
      <c r="O249" s="736">
        <f>SUM(M249+N249)</f>
        <v>508411</v>
      </c>
    </row>
    <row r="250" spans="1:16" s="740" customFormat="1" x14ac:dyDescent="0.25">
      <c r="A250" s="731"/>
      <c r="B250" s="732" t="s">
        <v>380</v>
      </c>
      <c r="C250" s="733">
        <v>7047</v>
      </c>
      <c r="D250" s="734">
        <v>1464</v>
      </c>
      <c r="E250" s="734">
        <v>50</v>
      </c>
      <c r="F250" s="738"/>
      <c r="G250" s="734"/>
      <c r="H250" s="736">
        <f>SUM(C250:G250)</f>
        <v>8561</v>
      </c>
      <c r="I250" s="746"/>
      <c r="J250" s="735"/>
      <c r="K250" s="735"/>
      <c r="L250" s="736">
        <f>SUM(I250:K250)</f>
        <v>0</v>
      </c>
      <c r="M250" s="739">
        <f>SUM(H250+L250)</f>
        <v>8561</v>
      </c>
      <c r="N250" s="739"/>
      <c r="O250" s="739">
        <f>SUM(M250+N250)</f>
        <v>8561</v>
      </c>
    </row>
    <row r="251" spans="1:16" s="740" customFormat="1" x14ac:dyDescent="0.25">
      <c r="A251" s="731"/>
      <c r="B251" s="732" t="s">
        <v>131</v>
      </c>
      <c r="C251" s="733"/>
      <c r="D251" s="734"/>
      <c r="E251" s="734"/>
      <c r="F251" s="738"/>
      <c r="G251" s="734"/>
      <c r="H251" s="736"/>
      <c r="I251" s="746"/>
      <c r="J251" s="735"/>
      <c r="K251" s="735"/>
      <c r="L251" s="736"/>
      <c r="M251" s="739"/>
      <c r="N251" s="739"/>
      <c r="O251" s="739"/>
    </row>
    <row r="252" spans="1:16" s="740" customFormat="1" ht="31.5" x14ac:dyDescent="0.25">
      <c r="A252" s="731"/>
      <c r="B252" s="679" t="s">
        <v>564</v>
      </c>
      <c r="C252" s="762"/>
      <c r="D252" s="763"/>
      <c r="E252" s="763">
        <v>-870</v>
      </c>
      <c r="F252" s="766"/>
      <c r="G252" s="734"/>
      <c r="H252" s="749">
        <f t="shared" ref="H252:H253" si="161">SUM(C252:G252)</f>
        <v>-870</v>
      </c>
      <c r="I252" s="767">
        <v>870</v>
      </c>
      <c r="J252" s="735"/>
      <c r="K252" s="735"/>
      <c r="L252" s="749">
        <f t="shared" ref="L252:L253" si="162">SUM(I252:K252)</f>
        <v>870</v>
      </c>
      <c r="M252" s="750">
        <f t="shared" ref="M252:M253" si="163">SUM(H252+L252)</f>
        <v>0</v>
      </c>
      <c r="N252" s="739"/>
      <c r="O252" s="750">
        <f t="shared" ref="O252:O253" si="164">SUM(M252+N252)</f>
        <v>0</v>
      </c>
    </row>
    <row r="253" spans="1:16" s="740" customFormat="1" ht="31.5" x14ac:dyDescent="0.25">
      <c r="A253" s="731"/>
      <c r="B253" s="679" t="s">
        <v>915</v>
      </c>
      <c r="C253" s="762"/>
      <c r="D253" s="763"/>
      <c r="E253" s="763">
        <v>1801</v>
      </c>
      <c r="F253" s="766"/>
      <c r="G253" s="734"/>
      <c r="H253" s="749">
        <f t="shared" si="161"/>
        <v>1801</v>
      </c>
      <c r="I253" s="746"/>
      <c r="J253" s="735"/>
      <c r="K253" s="735"/>
      <c r="L253" s="749">
        <f t="shared" si="162"/>
        <v>0</v>
      </c>
      <c r="M253" s="750">
        <f t="shared" si="163"/>
        <v>1801</v>
      </c>
      <c r="N253" s="739"/>
      <c r="O253" s="750">
        <f t="shared" si="164"/>
        <v>1801</v>
      </c>
    </row>
    <row r="254" spans="1:16" s="740" customFormat="1" ht="16.5" thickBot="1" x14ac:dyDescent="0.3">
      <c r="A254" s="731"/>
      <c r="B254" s="732" t="s">
        <v>132</v>
      </c>
      <c r="C254" s="762"/>
      <c r="D254" s="763"/>
      <c r="E254" s="763"/>
      <c r="F254" s="766"/>
      <c r="G254" s="734"/>
      <c r="H254" s="749"/>
      <c r="I254" s="746"/>
      <c r="J254" s="735"/>
      <c r="K254" s="735"/>
      <c r="L254" s="749"/>
      <c r="M254" s="750"/>
      <c r="N254" s="739"/>
      <c r="O254" s="750"/>
    </row>
    <row r="255" spans="1:16" ht="17.25" thickTop="1" thickBot="1" x14ac:dyDescent="0.3">
      <c r="A255" s="743"/>
      <c r="B255" s="744" t="s">
        <v>379</v>
      </c>
      <c r="C255" s="745">
        <f>+C248+C252+C253</f>
        <v>346725</v>
      </c>
      <c r="D255" s="745">
        <f t="shared" ref="D255:O255" si="165">+D248+D252+D253</f>
        <v>61938</v>
      </c>
      <c r="E255" s="745">
        <f t="shared" si="165"/>
        <v>102840</v>
      </c>
      <c r="F255" s="745">
        <f t="shared" si="165"/>
        <v>0</v>
      </c>
      <c r="G255" s="745">
        <f t="shared" si="165"/>
        <v>0</v>
      </c>
      <c r="H255" s="745">
        <f t="shared" si="165"/>
        <v>511503</v>
      </c>
      <c r="I255" s="745">
        <f t="shared" si="165"/>
        <v>7270</v>
      </c>
      <c r="J255" s="745">
        <f t="shared" si="165"/>
        <v>0</v>
      </c>
      <c r="K255" s="745">
        <f t="shared" si="165"/>
        <v>0</v>
      </c>
      <c r="L255" s="745">
        <f t="shared" si="165"/>
        <v>7270</v>
      </c>
      <c r="M255" s="745">
        <f t="shared" si="165"/>
        <v>518773</v>
      </c>
      <c r="N255" s="745">
        <f t="shared" si="165"/>
        <v>0</v>
      </c>
      <c r="O255" s="745">
        <f t="shared" si="165"/>
        <v>518773</v>
      </c>
      <c r="P255" s="650">
        <f>O256+O257</f>
        <v>518773</v>
      </c>
    </row>
    <row r="256" spans="1:16" ht="17.25" thickTop="1" thickBot="1" x14ac:dyDescent="0.3">
      <c r="A256" s="743"/>
      <c r="B256" s="744" t="s">
        <v>378</v>
      </c>
      <c r="C256" s="745">
        <f>+C249+C252+C253</f>
        <v>339678</v>
      </c>
      <c r="D256" s="745">
        <f t="shared" ref="D256:O256" si="166">+D249+D252+D253</f>
        <v>60474</v>
      </c>
      <c r="E256" s="745">
        <f t="shared" si="166"/>
        <v>102790</v>
      </c>
      <c r="F256" s="745">
        <f t="shared" si="166"/>
        <v>0</v>
      </c>
      <c r="G256" s="745">
        <f t="shared" si="166"/>
        <v>0</v>
      </c>
      <c r="H256" s="745">
        <f t="shared" si="166"/>
        <v>502942</v>
      </c>
      <c r="I256" s="745">
        <f t="shared" si="166"/>
        <v>7270</v>
      </c>
      <c r="J256" s="745">
        <f t="shared" si="166"/>
        <v>0</v>
      </c>
      <c r="K256" s="745">
        <f t="shared" si="166"/>
        <v>0</v>
      </c>
      <c r="L256" s="745">
        <f t="shared" si="166"/>
        <v>7270</v>
      </c>
      <c r="M256" s="745">
        <f t="shared" si="166"/>
        <v>510212</v>
      </c>
      <c r="N256" s="745">
        <f t="shared" si="166"/>
        <v>0</v>
      </c>
      <c r="O256" s="745">
        <f t="shared" si="166"/>
        <v>510212</v>
      </c>
    </row>
    <row r="257" spans="1:16" ht="17.25" thickTop="1" thickBot="1" x14ac:dyDescent="0.3">
      <c r="A257" s="743"/>
      <c r="B257" s="744" t="s">
        <v>377</v>
      </c>
      <c r="C257" s="745">
        <f>+C250</f>
        <v>7047</v>
      </c>
      <c r="D257" s="745">
        <f t="shared" ref="D257:O257" si="167">+D250</f>
        <v>1464</v>
      </c>
      <c r="E257" s="745">
        <f t="shared" si="167"/>
        <v>50</v>
      </c>
      <c r="F257" s="745">
        <f t="shared" si="167"/>
        <v>0</v>
      </c>
      <c r="G257" s="745">
        <f t="shared" si="167"/>
        <v>0</v>
      </c>
      <c r="H257" s="745">
        <f t="shared" si="167"/>
        <v>8561</v>
      </c>
      <c r="I257" s="745">
        <f t="shared" si="167"/>
        <v>0</v>
      </c>
      <c r="J257" s="745">
        <f t="shared" si="167"/>
        <v>0</v>
      </c>
      <c r="K257" s="745">
        <f t="shared" si="167"/>
        <v>0</v>
      </c>
      <c r="L257" s="745">
        <f t="shared" si="167"/>
        <v>0</v>
      </c>
      <c r="M257" s="745">
        <f t="shared" si="167"/>
        <v>8561</v>
      </c>
      <c r="N257" s="745">
        <f t="shared" si="167"/>
        <v>0</v>
      </c>
      <c r="O257" s="745">
        <f t="shared" si="167"/>
        <v>8561</v>
      </c>
    </row>
    <row r="258" spans="1:16" ht="16.5" thickTop="1" x14ac:dyDescent="0.25">
      <c r="A258" s="723" t="s">
        <v>13</v>
      </c>
      <c r="B258" s="724" t="s">
        <v>376</v>
      </c>
      <c r="C258" s="725"/>
      <c r="D258" s="726"/>
      <c r="E258" s="726"/>
      <c r="F258" s="742"/>
      <c r="G258" s="726"/>
      <c r="H258" s="728"/>
      <c r="I258" s="729"/>
      <c r="J258" s="727"/>
      <c r="K258" s="727"/>
      <c r="L258" s="728"/>
      <c r="M258" s="728"/>
      <c r="N258" s="728"/>
      <c r="O258" s="728"/>
    </row>
    <row r="259" spans="1:16" x14ac:dyDescent="0.25">
      <c r="A259" s="723"/>
      <c r="B259" s="679" t="s">
        <v>347</v>
      </c>
      <c r="C259" s="725">
        <f>SUM(C260:C261)</f>
        <v>250684</v>
      </c>
      <c r="D259" s="725">
        <f>SUM(D260:D261)</f>
        <v>43765</v>
      </c>
      <c r="E259" s="725">
        <f>SUM(E260:E261)</f>
        <v>142571</v>
      </c>
      <c r="F259" s="742">
        <v>1142</v>
      </c>
      <c r="G259" s="726"/>
      <c r="H259" s="728">
        <f>SUM(C259:G259)</f>
        <v>438162</v>
      </c>
      <c r="I259" s="729">
        <v>2067</v>
      </c>
      <c r="J259" s="727"/>
      <c r="K259" s="727"/>
      <c r="L259" s="728">
        <f>SUM(I259:K259)</f>
        <v>2067</v>
      </c>
      <c r="M259" s="730">
        <f>SUM(H259+L259)</f>
        <v>440229</v>
      </c>
      <c r="N259" s="730"/>
      <c r="O259" s="730">
        <f>SUM(M259+N259)</f>
        <v>440229</v>
      </c>
    </row>
    <row r="260" spans="1:16" s="740" customFormat="1" x14ac:dyDescent="0.25">
      <c r="A260" s="731"/>
      <c r="B260" s="732" t="s">
        <v>381</v>
      </c>
      <c r="C260" s="733">
        <v>244530</v>
      </c>
      <c r="D260" s="734">
        <v>42517</v>
      </c>
      <c r="E260" s="734">
        <v>142526</v>
      </c>
      <c r="F260" s="738">
        <v>1142</v>
      </c>
      <c r="G260" s="734"/>
      <c r="H260" s="736">
        <f>SUM(C260:G260)</f>
        <v>430715</v>
      </c>
      <c r="I260" s="746">
        <v>2067</v>
      </c>
      <c r="J260" s="735"/>
      <c r="K260" s="735"/>
      <c r="L260" s="736">
        <f>SUM(I260:K260)</f>
        <v>2067</v>
      </c>
      <c r="M260" s="739">
        <f>SUM(H260+L260)</f>
        <v>432782</v>
      </c>
      <c r="N260" s="739"/>
      <c r="O260" s="739">
        <f>SUM(M260+N260)</f>
        <v>432782</v>
      </c>
    </row>
    <row r="261" spans="1:16" s="740" customFormat="1" x14ac:dyDescent="0.25">
      <c r="A261" s="731"/>
      <c r="B261" s="732" t="s">
        <v>380</v>
      </c>
      <c r="C261" s="733">
        <v>6154</v>
      </c>
      <c r="D261" s="734">
        <v>1248</v>
      </c>
      <c r="E261" s="734">
        <v>45</v>
      </c>
      <c r="F261" s="738"/>
      <c r="G261" s="734"/>
      <c r="H261" s="736">
        <f>SUM(C261:G261)</f>
        <v>7447</v>
      </c>
      <c r="I261" s="746"/>
      <c r="J261" s="735"/>
      <c r="K261" s="735"/>
      <c r="L261" s="736">
        <f>SUM(I261:K261)</f>
        <v>0</v>
      </c>
      <c r="M261" s="739">
        <f>SUM(H261+L261)</f>
        <v>7447</v>
      </c>
      <c r="N261" s="739"/>
      <c r="O261" s="739">
        <f>SUM(M261+N261)</f>
        <v>7447</v>
      </c>
    </row>
    <row r="262" spans="1:16" s="740" customFormat="1" x14ac:dyDescent="0.25">
      <c r="A262" s="775"/>
      <c r="B262" s="748" t="s">
        <v>131</v>
      </c>
      <c r="C262" s="733"/>
      <c r="D262" s="734"/>
      <c r="E262" s="734"/>
      <c r="F262" s="735"/>
      <c r="G262" s="734"/>
      <c r="H262" s="736"/>
      <c r="I262" s="746"/>
      <c r="J262" s="735"/>
      <c r="K262" s="735"/>
      <c r="L262" s="736"/>
      <c r="M262" s="736"/>
      <c r="N262" s="736"/>
      <c r="O262" s="736"/>
    </row>
    <row r="263" spans="1:16" s="740" customFormat="1" ht="47.25" x14ac:dyDescent="0.25">
      <c r="A263" s="775"/>
      <c r="B263" s="679" t="s">
        <v>1215</v>
      </c>
      <c r="C263" s="762">
        <v>1359</v>
      </c>
      <c r="D263" s="763">
        <v>211</v>
      </c>
      <c r="E263" s="763"/>
      <c r="F263" s="764"/>
      <c r="G263" s="734"/>
      <c r="H263" s="749">
        <f t="shared" ref="H263:H265" si="168">SUM(C263:G263)</f>
        <v>1570</v>
      </c>
      <c r="I263" s="746"/>
      <c r="J263" s="735"/>
      <c r="K263" s="735"/>
      <c r="L263" s="749">
        <f t="shared" ref="L263:L265" si="169">SUM(I263:K263)</f>
        <v>0</v>
      </c>
      <c r="M263" s="749">
        <f t="shared" ref="M263:M265" si="170">SUM(H263+L263)</f>
        <v>1570</v>
      </c>
      <c r="N263" s="736"/>
      <c r="O263" s="749">
        <f t="shared" ref="O263:O265" si="171">SUM(M263+N263)</f>
        <v>1570</v>
      </c>
    </row>
    <row r="264" spans="1:16" s="740" customFormat="1" ht="31.5" x14ac:dyDescent="0.25">
      <c r="A264" s="731"/>
      <c r="B264" s="679" t="s">
        <v>564</v>
      </c>
      <c r="C264" s="762">
        <v>1514</v>
      </c>
      <c r="D264" s="763">
        <v>527</v>
      </c>
      <c r="E264" s="763">
        <v>-27937</v>
      </c>
      <c r="F264" s="766">
        <v>23004</v>
      </c>
      <c r="G264" s="734"/>
      <c r="H264" s="749">
        <f t="shared" si="168"/>
        <v>-2892</v>
      </c>
      <c r="I264" s="767">
        <v>1933</v>
      </c>
      <c r="J264" s="764">
        <v>959</v>
      </c>
      <c r="K264" s="735"/>
      <c r="L264" s="749">
        <f t="shared" si="169"/>
        <v>2892</v>
      </c>
      <c r="M264" s="750">
        <f t="shared" si="170"/>
        <v>0</v>
      </c>
      <c r="N264" s="739"/>
      <c r="O264" s="750">
        <f t="shared" si="171"/>
        <v>0</v>
      </c>
    </row>
    <row r="265" spans="1:16" s="740" customFormat="1" ht="31.5" x14ac:dyDescent="0.25">
      <c r="A265" s="731"/>
      <c r="B265" s="679" t="s">
        <v>915</v>
      </c>
      <c r="C265" s="762"/>
      <c r="D265" s="763"/>
      <c r="E265" s="763">
        <v>8207</v>
      </c>
      <c r="F265" s="766"/>
      <c r="G265" s="734"/>
      <c r="H265" s="749">
        <f t="shared" si="168"/>
        <v>8207</v>
      </c>
      <c r="I265" s="746"/>
      <c r="J265" s="735"/>
      <c r="K265" s="735"/>
      <c r="L265" s="749">
        <f t="shared" si="169"/>
        <v>0</v>
      </c>
      <c r="M265" s="750">
        <f t="shared" si="170"/>
        <v>8207</v>
      </c>
      <c r="N265" s="739"/>
      <c r="O265" s="750">
        <f t="shared" si="171"/>
        <v>8207</v>
      </c>
    </row>
    <row r="266" spans="1:16" s="740" customFormat="1" x14ac:dyDescent="0.25">
      <c r="A266" s="731"/>
      <c r="B266" s="732" t="s">
        <v>132</v>
      </c>
      <c r="C266" s="762"/>
      <c r="D266" s="763"/>
      <c r="E266" s="763"/>
      <c r="F266" s="766"/>
      <c r="G266" s="734"/>
      <c r="H266" s="749"/>
      <c r="I266" s="746"/>
      <c r="J266" s="735"/>
      <c r="K266" s="735"/>
      <c r="L266" s="749"/>
      <c r="M266" s="750"/>
      <c r="N266" s="739"/>
      <c r="O266" s="750"/>
    </row>
    <row r="267" spans="1:16" s="740" customFormat="1" ht="48" customHeight="1" thickBot="1" x14ac:dyDescent="0.3">
      <c r="A267" s="731"/>
      <c r="B267" s="679" t="s">
        <v>1219</v>
      </c>
      <c r="C267" s="762">
        <v>3</v>
      </c>
      <c r="D267" s="763">
        <v>1</v>
      </c>
      <c r="E267" s="763"/>
      <c r="F267" s="766"/>
      <c r="G267" s="734"/>
      <c r="H267" s="749">
        <f>SUM(C267:G267)</f>
        <v>4</v>
      </c>
      <c r="I267" s="746"/>
      <c r="J267" s="735"/>
      <c r="K267" s="735"/>
      <c r="L267" s="749">
        <f>SUM(I267:K267)</f>
        <v>0</v>
      </c>
      <c r="M267" s="750">
        <f>SUM(H267+L267)</f>
        <v>4</v>
      </c>
      <c r="N267" s="739"/>
      <c r="O267" s="750">
        <f>SUM(M267+N267)</f>
        <v>4</v>
      </c>
    </row>
    <row r="268" spans="1:16" ht="17.25" thickTop="1" thickBot="1" x14ac:dyDescent="0.3">
      <c r="A268" s="743"/>
      <c r="B268" s="744" t="s">
        <v>379</v>
      </c>
      <c r="C268" s="745">
        <f>+C259+C263+C264+C267+C265</f>
        <v>253560</v>
      </c>
      <c r="D268" s="745">
        <f t="shared" ref="D268:O268" si="172">+D259+D263+D264+D267+D265</f>
        <v>44504</v>
      </c>
      <c r="E268" s="745">
        <f t="shared" si="172"/>
        <v>122841</v>
      </c>
      <c r="F268" s="745">
        <f t="shared" si="172"/>
        <v>24146</v>
      </c>
      <c r="G268" s="745">
        <f t="shared" si="172"/>
        <v>0</v>
      </c>
      <c r="H268" s="745">
        <f t="shared" si="172"/>
        <v>445051</v>
      </c>
      <c r="I268" s="745">
        <f t="shared" si="172"/>
        <v>4000</v>
      </c>
      <c r="J268" s="745">
        <f t="shared" si="172"/>
        <v>959</v>
      </c>
      <c r="K268" s="745">
        <f t="shared" si="172"/>
        <v>0</v>
      </c>
      <c r="L268" s="745">
        <f t="shared" si="172"/>
        <v>4959</v>
      </c>
      <c r="M268" s="745">
        <f t="shared" si="172"/>
        <v>450010</v>
      </c>
      <c r="N268" s="745">
        <f t="shared" si="172"/>
        <v>0</v>
      </c>
      <c r="O268" s="745">
        <f t="shared" si="172"/>
        <v>450010</v>
      </c>
      <c r="P268" s="650">
        <f>O269+O270</f>
        <v>450010</v>
      </c>
    </row>
    <row r="269" spans="1:16" ht="17.25" thickTop="1" thickBot="1" x14ac:dyDescent="0.3">
      <c r="A269" s="743"/>
      <c r="B269" s="744" t="s">
        <v>378</v>
      </c>
      <c r="C269" s="745">
        <f>+C260+C263+C264+C265</f>
        <v>247403</v>
      </c>
      <c r="D269" s="745">
        <f t="shared" ref="D269:O269" si="173">+D260+D263+D264+D265</f>
        <v>43255</v>
      </c>
      <c r="E269" s="745">
        <f t="shared" si="173"/>
        <v>122796</v>
      </c>
      <c r="F269" s="745">
        <f t="shared" si="173"/>
        <v>24146</v>
      </c>
      <c r="G269" s="745">
        <f t="shared" si="173"/>
        <v>0</v>
      </c>
      <c r="H269" s="745">
        <f t="shared" si="173"/>
        <v>437600</v>
      </c>
      <c r="I269" s="745">
        <f t="shared" si="173"/>
        <v>4000</v>
      </c>
      <c r="J269" s="745">
        <f t="shared" si="173"/>
        <v>959</v>
      </c>
      <c r="K269" s="745">
        <f t="shared" si="173"/>
        <v>0</v>
      </c>
      <c r="L269" s="745">
        <f t="shared" si="173"/>
        <v>4959</v>
      </c>
      <c r="M269" s="745">
        <f t="shared" si="173"/>
        <v>442559</v>
      </c>
      <c r="N269" s="745">
        <f t="shared" si="173"/>
        <v>0</v>
      </c>
      <c r="O269" s="745">
        <f t="shared" si="173"/>
        <v>442559</v>
      </c>
    </row>
    <row r="270" spans="1:16" ht="17.25" thickTop="1" thickBot="1" x14ac:dyDescent="0.3">
      <c r="A270" s="743"/>
      <c r="B270" s="744" t="s">
        <v>377</v>
      </c>
      <c r="C270" s="745">
        <f>+C261+C267</f>
        <v>6157</v>
      </c>
      <c r="D270" s="745">
        <f t="shared" ref="D270:O270" si="174">+D261+D267</f>
        <v>1249</v>
      </c>
      <c r="E270" s="745">
        <f t="shared" si="174"/>
        <v>45</v>
      </c>
      <c r="F270" s="745">
        <f t="shared" si="174"/>
        <v>0</v>
      </c>
      <c r="G270" s="745">
        <f t="shared" si="174"/>
        <v>0</v>
      </c>
      <c r="H270" s="745">
        <f t="shared" si="174"/>
        <v>7451</v>
      </c>
      <c r="I270" s="745">
        <f t="shared" si="174"/>
        <v>0</v>
      </c>
      <c r="J270" s="745">
        <f t="shared" si="174"/>
        <v>0</v>
      </c>
      <c r="K270" s="745">
        <f t="shared" si="174"/>
        <v>0</v>
      </c>
      <c r="L270" s="745">
        <f t="shared" si="174"/>
        <v>0</v>
      </c>
      <c r="M270" s="745">
        <f t="shared" si="174"/>
        <v>7451</v>
      </c>
      <c r="N270" s="745">
        <f t="shared" si="174"/>
        <v>0</v>
      </c>
      <c r="O270" s="745">
        <f t="shared" si="174"/>
        <v>7451</v>
      </c>
    </row>
    <row r="271" spans="1:16" ht="17.25" thickTop="1" thickBot="1" x14ac:dyDescent="0.3">
      <c r="A271" s="743"/>
      <c r="B271" s="744" t="s">
        <v>393</v>
      </c>
      <c r="C271" s="745">
        <f t="shared" ref="C271:O271" si="175">SUM(C244+C255+C268)</f>
        <v>1452568</v>
      </c>
      <c r="D271" s="745">
        <f t="shared" si="175"/>
        <v>261523</v>
      </c>
      <c r="E271" s="745">
        <f t="shared" si="175"/>
        <v>715496</v>
      </c>
      <c r="F271" s="745">
        <f t="shared" si="175"/>
        <v>24218</v>
      </c>
      <c r="G271" s="745">
        <f t="shared" si="175"/>
        <v>0</v>
      </c>
      <c r="H271" s="745">
        <f t="shared" si="175"/>
        <v>2453805</v>
      </c>
      <c r="I271" s="745">
        <f t="shared" si="175"/>
        <v>30849</v>
      </c>
      <c r="J271" s="745">
        <f t="shared" si="175"/>
        <v>959</v>
      </c>
      <c r="K271" s="745">
        <f t="shared" si="175"/>
        <v>0</v>
      </c>
      <c r="L271" s="745">
        <f t="shared" si="175"/>
        <v>31808</v>
      </c>
      <c r="M271" s="745">
        <f t="shared" si="175"/>
        <v>2485613</v>
      </c>
      <c r="N271" s="745">
        <f t="shared" si="175"/>
        <v>0</v>
      </c>
      <c r="O271" s="745">
        <f t="shared" si="175"/>
        <v>2485613</v>
      </c>
    </row>
    <row r="272" spans="1:16" ht="16.5" thickTop="1" x14ac:dyDescent="0.25">
      <c r="A272" s="768" t="s">
        <v>14</v>
      </c>
      <c r="B272" s="776" t="s">
        <v>392</v>
      </c>
      <c r="C272" s="777"/>
      <c r="D272" s="778"/>
      <c r="E272" s="778"/>
      <c r="F272" s="779"/>
      <c r="G272" s="778"/>
      <c r="H272" s="780"/>
      <c r="I272" s="781"/>
      <c r="J272" s="778"/>
      <c r="K272" s="779"/>
      <c r="L272" s="780"/>
      <c r="M272" s="780"/>
      <c r="N272" s="780"/>
      <c r="O272" s="780"/>
    </row>
    <row r="273" spans="1:16" x14ac:dyDescent="0.25">
      <c r="A273" s="723"/>
      <c r="B273" s="782" t="s">
        <v>347</v>
      </c>
      <c r="C273" s="752">
        <f>SUM(C274:C275)</f>
        <v>233933</v>
      </c>
      <c r="D273" s="752">
        <f>SUM(D274:D275)</f>
        <v>43005</v>
      </c>
      <c r="E273" s="752">
        <f>SUM(E274:E275)</f>
        <v>948427</v>
      </c>
      <c r="F273" s="752">
        <f t="shared" ref="F273:G273" si="176">SUM(F274:F275)</f>
        <v>0</v>
      </c>
      <c r="G273" s="752">
        <f t="shared" si="176"/>
        <v>0</v>
      </c>
      <c r="H273" s="728">
        <f>SUM(C273:G273)</f>
        <v>1225365</v>
      </c>
      <c r="I273" s="729">
        <f>SUM(I274:I275)</f>
        <v>15796</v>
      </c>
      <c r="J273" s="727">
        <f t="shared" ref="J273:K273" si="177">SUM(J274:J275)</f>
        <v>0</v>
      </c>
      <c r="K273" s="727">
        <f t="shared" si="177"/>
        <v>0</v>
      </c>
      <c r="L273" s="728">
        <f>SUM(I273:K273)</f>
        <v>15796</v>
      </c>
      <c r="M273" s="730">
        <f>SUM(H273+L273)</f>
        <v>1241161</v>
      </c>
      <c r="N273" s="730"/>
      <c r="O273" s="730">
        <f>SUM(M273+N273)</f>
        <v>1241161</v>
      </c>
    </row>
    <row r="274" spans="1:16" s="740" customFormat="1" x14ac:dyDescent="0.25">
      <c r="A274" s="731"/>
      <c r="B274" s="732" t="s">
        <v>381</v>
      </c>
      <c r="C274" s="757">
        <v>230391</v>
      </c>
      <c r="D274" s="758">
        <v>42088</v>
      </c>
      <c r="E274" s="758">
        <v>948427</v>
      </c>
      <c r="F274" s="758"/>
      <c r="G274" s="758"/>
      <c r="H274" s="736">
        <f>SUM(C274:G274)</f>
        <v>1220906</v>
      </c>
      <c r="I274" s="746">
        <v>15796</v>
      </c>
      <c r="J274" s="735"/>
      <c r="K274" s="735"/>
      <c r="L274" s="736">
        <f>SUM(I274:K274)</f>
        <v>15796</v>
      </c>
      <c r="M274" s="739">
        <f>SUM(H274+L274)</f>
        <v>1236702</v>
      </c>
      <c r="N274" s="739"/>
      <c r="O274" s="739">
        <f>SUM(M274+N274)</f>
        <v>1236702</v>
      </c>
    </row>
    <row r="275" spans="1:16" s="740" customFormat="1" x14ac:dyDescent="0.25">
      <c r="A275" s="731"/>
      <c r="B275" s="732" t="s">
        <v>380</v>
      </c>
      <c r="C275" s="757">
        <v>3542</v>
      </c>
      <c r="D275" s="758">
        <v>917</v>
      </c>
      <c r="E275" s="758"/>
      <c r="F275" s="783"/>
      <c r="G275" s="758"/>
      <c r="H275" s="736">
        <f>SUM(C275:G275)</f>
        <v>4459</v>
      </c>
      <c r="I275" s="746"/>
      <c r="J275" s="735"/>
      <c r="K275" s="735"/>
      <c r="L275" s="736">
        <f>SUM(I275:K275)</f>
        <v>0</v>
      </c>
      <c r="M275" s="739">
        <f>SUM(H275+L275)</f>
        <v>4459</v>
      </c>
      <c r="N275" s="739"/>
      <c r="O275" s="739">
        <f>SUM(M275+N275)</f>
        <v>4459</v>
      </c>
    </row>
    <row r="276" spans="1:16" x14ac:dyDescent="0.25">
      <c r="A276" s="723"/>
      <c r="B276" s="732" t="s">
        <v>131</v>
      </c>
      <c r="C276" s="725"/>
      <c r="D276" s="726"/>
      <c r="E276" s="726"/>
      <c r="F276" s="727"/>
      <c r="G276" s="726"/>
      <c r="H276" s="728"/>
      <c r="I276" s="729"/>
      <c r="J276" s="727"/>
      <c r="K276" s="727"/>
      <c r="L276" s="728"/>
      <c r="M276" s="730"/>
      <c r="N276" s="730"/>
      <c r="O276" s="730"/>
    </row>
    <row r="277" spans="1:16" ht="31.5" x14ac:dyDescent="0.25">
      <c r="A277" s="723"/>
      <c r="B277" s="679" t="s">
        <v>1214</v>
      </c>
      <c r="C277" s="784">
        <v>-31</v>
      </c>
      <c r="D277" s="785">
        <v>-4</v>
      </c>
      <c r="E277" s="726"/>
      <c r="F277" s="742"/>
      <c r="G277" s="785"/>
      <c r="H277" s="728">
        <f t="shared" ref="H277:H279" si="178">SUM(C277:G277)</f>
        <v>-35</v>
      </c>
      <c r="I277" s="729"/>
      <c r="J277" s="727"/>
      <c r="K277" s="727"/>
      <c r="L277" s="728">
        <f t="shared" ref="L277:L279" si="179">SUM(I277:K277)</f>
        <v>0</v>
      </c>
      <c r="M277" s="730">
        <f t="shared" ref="M277:M279" si="180">SUM(H277+L277)</f>
        <v>-35</v>
      </c>
      <c r="N277" s="730"/>
      <c r="O277" s="730">
        <f t="shared" ref="O277:O279" si="181">SUM(M277+N277)</f>
        <v>-35</v>
      </c>
    </row>
    <row r="278" spans="1:16" ht="31.5" x14ac:dyDescent="0.25">
      <c r="A278" s="723"/>
      <c r="B278" s="679" t="s">
        <v>564</v>
      </c>
      <c r="C278" s="784">
        <v>-7965</v>
      </c>
      <c r="D278" s="785"/>
      <c r="E278" s="726">
        <v>7242</v>
      </c>
      <c r="F278" s="742"/>
      <c r="G278" s="785"/>
      <c r="H278" s="728">
        <f t="shared" si="178"/>
        <v>-723</v>
      </c>
      <c r="I278" s="729">
        <v>-8900</v>
      </c>
      <c r="J278" s="727">
        <v>9623</v>
      </c>
      <c r="K278" s="727"/>
      <c r="L278" s="728">
        <f t="shared" si="179"/>
        <v>723</v>
      </c>
      <c r="M278" s="730">
        <f t="shared" si="180"/>
        <v>0</v>
      </c>
      <c r="N278" s="730"/>
      <c r="O278" s="730">
        <f t="shared" si="181"/>
        <v>0</v>
      </c>
    </row>
    <row r="279" spans="1:16" ht="31.5" x14ac:dyDescent="0.25">
      <c r="A279" s="723"/>
      <c r="B279" s="679" t="s">
        <v>915</v>
      </c>
      <c r="C279" s="784"/>
      <c r="D279" s="785"/>
      <c r="E279" s="726">
        <f>9645+1</f>
        <v>9646</v>
      </c>
      <c r="F279" s="742"/>
      <c r="G279" s="785"/>
      <c r="H279" s="728">
        <f t="shared" si="178"/>
        <v>9646</v>
      </c>
      <c r="I279" s="729"/>
      <c r="J279" s="727"/>
      <c r="K279" s="727"/>
      <c r="L279" s="728">
        <f t="shared" si="179"/>
        <v>0</v>
      </c>
      <c r="M279" s="730">
        <f t="shared" si="180"/>
        <v>9646</v>
      </c>
      <c r="N279" s="730"/>
      <c r="O279" s="730">
        <f t="shared" si="181"/>
        <v>9646</v>
      </c>
    </row>
    <row r="280" spans="1:16" ht="16.5" thickBot="1" x14ac:dyDescent="0.3">
      <c r="A280" s="723"/>
      <c r="B280" s="675" t="s">
        <v>132</v>
      </c>
      <c r="C280" s="784"/>
      <c r="D280" s="785"/>
      <c r="E280" s="726"/>
      <c r="F280" s="742"/>
      <c r="G280" s="785"/>
      <c r="H280" s="728"/>
      <c r="I280" s="729"/>
      <c r="J280" s="727"/>
      <c r="K280" s="727"/>
      <c r="L280" s="728"/>
      <c r="M280" s="730"/>
      <c r="N280" s="730"/>
      <c r="O280" s="730"/>
    </row>
    <row r="281" spans="1:16" ht="17.25" thickTop="1" thickBot="1" x14ac:dyDescent="0.3">
      <c r="A281" s="743"/>
      <c r="B281" s="744" t="s">
        <v>379</v>
      </c>
      <c r="C281" s="745">
        <f>+C273+C277+C278+C279</f>
        <v>225937</v>
      </c>
      <c r="D281" s="745">
        <f t="shared" ref="D281:O281" si="182">+D273+D277+D278+D279</f>
        <v>43001</v>
      </c>
      <c r="E281" s="745">
        <f t="shared" si="182"/>
        <v>965315</v>
      </c>
      <c r="F281" s="745">
        <f t="shared" si="182"/>
        <v>0</v>
      </c>
      <c r="G281" s="745">
        <f t="shared" si="182"/>
        <v>0</v>
      </c>
      <c r="H281" s="745">
        <f t="shared" si="182"/>
        <v>1234253</v>
      </c>
      <c r="I281" s="745">
        <f t="shared" si="182"/>
        <v>6896</v>
      </c>
      <c r="J281" s="745">
        <f t="shared" si="182"/>
        <v>9623</v>
      </c>
      <c r="K281" s="745">
        <f t="shared" si="182"/>
        <v>0</v>
      </c>
      <c r="L281" s="745">
        <f t="shared" si="182"/>
        <v>16519</v>
      </c>
      <c r="M281" s="745">
        <f t="shared" si="182"/>
        <v>1250772</v>
      </c>
      <c r="N281" s="745">
        <f t="shared" si="182"/>
        <v>0</v>
      </c>
      <c r="O281" s="745">
        <f t="shared" si="182"/>
        <v>1250772</v>
      </c>
      <c r="P281" s="650">
        <f>O282+O283</f>
        <v>1250772</v>
      </c>
    </row>
    <row r="282" spans="1:16" ht="17.25" thickTop="1" thickBot="1" x14ac:dyDescent="0.3">
      <c r="A282" s="743"/>
      <c r="B282" s="744" t="s">
        <v>378</v>
      </c>
      <c r="C282" s="745">
        <f>++C274+C277+C278+C279</f>
        <v>222395</v>
      </c>
      <c r="D282" s="745">
        <f t="shared" ref="D282:O282" si="183">++D274+D277+D278+D279</f>
        <v>42084</v>
      </c>
      <c r="E282" s="745">
        <f t="shared" si="183"/>
        <v>965315</v>
      </c>
      <c r="F282" s="745">
        <f t="shared" si="183"/>
        <v>0</v>
      </c>
      <c r="G282" s="745">
        <f t="shared" si="183"/>
        <v>0</v>
      </c>
      <c r="H282" s="745">
        <f t="shared" si="183"/>
        <v>1229794</v>
      </c>
      <c r="I282" s="745">
        <f t="shared" si="183"/>
        <v>6896</v>
      </c>
      <c r="J282" s="745">
        <f t="shared" si="183"/>
        <v>9623</v>
      </c>
      <c r="K282" s="745">
        <f t="shared" si="183"/>
        <v>0</v>
      </c>
      <c r="L282" s="745">
        <f t="shared" si="183"/>
        <v>16519</v>
      </c>
      <c r="M282" s="745">
        <f t="shared" si="183"/>
        <v>1246313</v>
      </c>
      <c r="N282" s="745">
        <f t="shared" si="183"/>
        <v>0</v>
      </c>
      <c r="O282" s="745">
        <f t="shared" si="183"/>
        <v>1246313</v>
      </c>
    </row>
    <row r="283" spans="1:16" ht="17.25" thickTop="1" thickBot="1" x14ac:dyDescent="0.3">
      <c r="A283" s="743"/>
      <c r="B283" s="744" t="s">
        <v>377</v>
      </c>
      <c r="C283" s="745">
        <f>+C275</f>
        <v>3542</v>
      </c>
      <c r="D283" s="745">
        <f t="shared" ref="D283:O283" si="184">+D275</f>
        <v>917</v>
      </c>
      <c r="E283" s="745">
        <f t="shared" si="184"/>
        <v>0</v>
      </c>
      <c r="F283" s="745">
        <f t="shared" si="184"/>
        <v>0</v>
      </c>
      <c r="G283" s="745">
        <f t="shared" si="184"/>
        <v>0</v>
      </c>
      <c r="H283" s="745">
        <f t="shared" si="184"/>
        <v>4459</v>
      </c>
      <c r="I283" s="745">
        <f t="shared" si="184"/>
        <v>0</v>
      </c>
      <c r="J283" s="745">
        <f t="shared" si="184"/>
        <v>0</v>
      </c>
      <c r="K283" s="745">
        <f t="shared" si="184"/>
        <v>0</v>
      </c>
      <c r="L283" s="745">
        <f t="shared" si="184"/>
        <v>0</v>
      </c>
      <c r="M283" s="745">
        <f t="shared" si="184"/>
        <v>4459</v>
      </c>
      <c r="N283" s="745">
        <f t="shared" si="184"/>
        <v>0</v>
      </c>
      <c r="O283" s="745">
        <f t="shared" si="184"/>
        <v>4459</v>
      </c>
    </row>
    <row r="284" spans="1:16" ht="16.5" thickTop="1" x14ac:dyDescent="0.25">
      <c r="A284" s="768" t="s">
        <v>15</v>
      </c>
      <c r="B284" s="769" t="s">
        <v>391</v>
      </c>
      <c r="C284" s="770"/>
      <c r="D284" s="771"/>
      <c r="E284" s="771"/>
      <c r="F284" s="772"/>
      <c r="G284" s="771"/>
      <c r="H284" s="773"/>
      <c r="I284" s="774"/>
      <c r="J284" s="772"/>
      <c r="K284" s="772"/>
      <c r="L284" s="773"/>
      <c r="M284" s="773"/>
      <c r="N284" s="773"/>
      <c r="O284" s="773"/>
    </row>
    <row r="285" spans="1:16" x14ac:dyDescent="0.25">
      <c r="A285" s="723"/>
      <c r="B285" s="679" t="s">
        <v>347</v>
      </c>
      <c r="C285" s="752">
        <f>SUM(C286)</f>
        <v>47087</v>
      </c>
      <c r="D285" s="752">
        <f>SUM(D286)</f>
        <v>7933</v>
      </c>
      <c r="E285" s="752">
        <f>SUM(E286)</f>
        <v>35742</v>
      </c>
      <c r="F285" s="752">
        <f t="shared" ref="F285:G285" si="185">SUM(F286)</f>
        <v>0</v>
      </c>
      <c r="G285" s="752">
        <f t="shared" si="185"/>
        <v>0</v>
      </c>
      <c r="H285" s="728">
        <f>SUM(C285:G285)</f>
        <v>90762</v>
      </c>
      <c r="I285" s="729">
        <f>SUM(I286)</f>
        <v>1108</v>
      </c>
      <c r="J285" s="727">
        <f t="shared" ref="J285:K285" si="186">SUM(J286)</f>
        <v>0</v>
      </c>
      <c r="K285" s="727">
        <f t="shared" si="186"/>
        <v>0</v>
      </c>
      <c r="L285" s="728">
        <f>SUM(I285:K285)</f>
        <v>1108</v>
      </c>
      <c r="M285" s="730">
        <f>SUM(H285+L285)</f>
        <v>91870</v>
      </c>
      <c r="N285" s="730"/>
      <c r="O285" s="730">
        <f>SUM(M285+N285)</f>
        <v>91870</v>
      </c>
    </row>
    <row r="286" spans="1:16" s="740" customFormat="1" x14ac:dyDescent="0.25">
      <c r="A286" s="731"/>
      <c r="B286" s="732" t="s">
        <v>386</v>
      </c>
      <c r="C286" s="757">
        <v>47087</v>
      </c>
      <c r="D286" s="758">
        <v>7933</v>
      </c>
      <c r="E286" s="734">
        <v>35742</v>
      </c>
      <c r="F286" s="786"/>
      <c r="G286" s="758"/>
      <c r="H286" s="736">
        <f>SUM(C286:G286)</f>
        <v>90762</v>
      </c>
      <c r="I286" s="746">
        <v>1108</v>
      </c>
      <c r="J286" s="735"/>
      <c r="K286" s="735"/>
      <c r="L286" s="736">
        <f>SUM(I286:K286)</f>
        <v>1108</v>
      </c>
      <c r="M286" s="739">
        <f>SUM(H286+L286)</f>
        <v>91870</v>
      </c>
      <c r="N286" s="739"/>
      <c r="O286" s="739">
        <f>SUM(M286+N286)</f>
        <v>91870</v>
      </c>
    </row>
    <row r="287" spans="1:16" s="740" customFormat="1" x14ac:dyDescent="0.25">
      <c r="A287" s="775"/>
      <c r="B287" s="748" t="s">
        <v>132</v>
      </c>
      <c r="C287" s="733"/>
      <c r="D287" s="734"/>
      <c r="E287" s="734"/>
      <c r="F287" s="735"/>
      <c r="G287" s="734"/>
      <c r="H287" s="736"/>
      <c r="I287" s="746"/>
      <c r="J287" s="735"/>
      <c r="K287" s="735"/>
      <c r="L287" s="736"/>
      <c r="M287" s="736"/>
      <c r="N287" s="736"/>
      <c r="O287" s="736"/>
    </row>
    <row r="288" spans="1:16" s="740" customFormat="1" ht="32.25" thickBot="1" x14ac:dyDescent="0.3">
      <c r="A288" s="928"/>
      <c r="B288" s="937" t="s">
        <v>564</v>
      </c>
      <c r="C288" s="930"/>
      <c r="D288" s="931"/>
      <c r="E288" s="931">
        <v>-115</v>
      </c>
      <c r="F288" s="938"/>
      <c r="G288" s="931"/>
      <c r="H288" s="934">
        <f t="shared" ref="H288" si="187">SUM(C288:G288)</f>
        <v>-115</v>
      </c>
      <c r="I288" s="939">
        <v>115</v>
      </c>
      <c r="J288" s="938"/>
      <c r="K288" s="938"/>
      <c r="L288" s="934">
        <f t="shared" ref="L288" si="188">SUM(I288:K288)</f>
        <v>115</v>
      </c>
      <c r="M288" s="934">
        <f t="shared" ref="M288" si="189">SUM(H288+L288)</f>
        <v>0</v>
      </c>
      <c r="N288" s="934"/>
      <c r="O288" s="934">
        <f t="shared" ref="O288" si="190">SUM(M288+N288)</f>
        <v>0</v>
      </c>
    </row>
    <row r="289" spans="1:16" ht="17.25" thickTop="1" thickBot="1" x14ac:dyDescent="0.3">
      <c r="A289" s="743"/>
      <c r="B289" s="790" t="s">
        <v>379</v>
      </c>
      <c r="C289" s="791">
        <f>+C285+C288</f>
        <v>47087</v>
      </c>
      <c r="D289" s="791">
        <f t="shared" ref="D289:O289" si="191">+D285+D288</f>
        <v>7933</v>
      </c>
      <c r="E289" s="791">
        <f t="shared" si="191"/>
        <v>35627</v>
      </c>
      <c r="F289" s="791">
        <f t="shared" si="191"/>
        <v>0</v>
      </c>
      <c r="G289" s="791">
        <f t="shared" si="191"/>
        <v>0</v>
      </c>
      <c r="H289" s="791">
        <f t="shared" si="191"/>
        <v>90647</v>
      </c>
      <c r="I289" s="791">
        <f t="shared" si="191"/>
        <v>1223</v>
      </c>
      <c r="J289" s="791">
        <f t="shared" si="191"/>
        <v>0</v>
      </c>
      <c r="K289" s="791">
        <f t="shared" si="191"/>
        <v>0</v>
      </c>
      <c r="L289" s="791">
        <f t="shared" si="191"/>
        <v>1223</v>
      </c>
      <c r="M289" s="791">
        <f t="shared" si="191"/>
        <v>91870</v>
      </c>
      <c r="N289" s="791">
        <f t="shared" si="191"/>
        <v>0</v>
      </c>
      <c r="O289" s="791">
        <f t="shared" si="191"/>
        <v>91870</v>
      </c>
    </row>
    <row r="290" spans="1:16" ht="17.25" thickTop="1" thickBot="1" x14ac:dyDescent="0.3">
      <c r="A290" s="743"/>
      <c r="B290" s="744" t="s">
        <v>385</v>
      </c>
      <c r="C290" s="745">
        <f>+C286+C288</f>
        <v>47087</v>
      </c>
      <c r="D290" s="745">
        <f t="shared" ref="D290:O290" si="192">+D286+D288</f>
        <v>7933</v>
      </c>
      <c r="E290" s="745">
        <f t="shared" si="192"/>
        <v>35627</v>
      </c>
      <c r="F290" s="745">
        <f t="shared" si="192"/>
        <v>0</v>
      </c>
      <c r="G290" s="745">
        <f t="shared" si="192"/>
        <v>0</v>
      </c>
      <c r="H290" s="745">
        <f t="shared" si="192"/>
        <v>90647</v>
      </c>
      <c r="I290" s="745">
        <f t="shared" si="192"/>
        <v>1223</v>
      </c>
      <c r="J290" s="745">
        <f t="shared" si="192"/>
        <v>0</v>
      </c>
      <c r="K290" s="745">
        <f t="shared" si="192"/>
        <v>0</v>
      </c>
      <c r="L290" s="745">
        <f t="shared" si="192"/>
        <v>1223</v>
      </c>
      <c r="M290" s="745">
        <f t="shared" si="192"/>
        <v>91870</v>
      </c>
      <c r="N290" s="745">
        <f t="shared" si="192"/>
        <v>0</v>
      </c>
      <c r="O290" s="745">
        <f t="shared" si="192"/>
        <v>91870</v>
      </c>
    </row>
    <row r="291" spans="1:16" ht="16.5" thickTop="1" x14ac:dyDescent="0.25">
      <c r="A291" s="723" t="s">
        <v>16</v>
      </c>
      <c r="B291" s="751" t="s">
        <v>390</v>
      </c>
      <c r="C291" s="752"/>
      <c r="D291" s="753"/>
      <c r="E291" s="726"/>
      <c r="F291" s="755"/>
      <c r="G291" s="753"/>
      <c r="H291" s="728"/>
      <c r="I291" s="754"/>
      <c r="J291" s="755"/>
      <c r="K291" s="755"/>
      <c r="L291" s="728"/>
      <c r="M291" s="756"/>
      <c r="N291" s="756"/>
      <c r="O291" s="756"/>
    </row>
    <row r="292" spans="1:16" x14ac:dyDescent="0.25">
      <c r="A292" s="723"/>
      <c r="B292" s="679" t="s">
        <v>347</v>
      </c>
      <c r="C292" s="752">
        <f>SUM(C293:C294)</f>
        <v>293689</v>
      </c>
      <c r="D292" s="752">
        <f>SUM(D293:D294)</f>
        <v>54632</v>
      </c>
      <c r="E292" s="752">
        <f>SUM(E293:E294)</f>
        <v>138588</v>
      </c>
      <c r="F292" s="755">
        <v>10446</v>
      </c>
      <c r="G292" s="753"/>
      <c r="H292" s="728">
        <f>SUM(C292:G292)</f>
        <v>497355</v>
      </c>
      <c r="I292" s="729">
        <f>SUM(I293:I294)</f>
        <v>28340</v>
      </c>
      <c r="J292" s="729">
        <f>SUM(J293:J294)</f>
        <v>0</v>
      </c>
      <c r="K292" s="729">
        <f>SUM(K293:K294)</f>
        <v>0</v>
      </c>
      <c r="L292" s="728">
        <f>SUM(I292:K292)</f>
        <v>28340</v>
      </c>
      <c r="M292" s="730">
        <f>SUM(H292+L292)</f>
        <v>525695</v>
      </c>
      <c r="N292" s="730"/>
      <c r="O292" s="730">
        <f>SUM(M292+N292)</f>
        <v>525695</v>
      </c>
    </row>
    <row r="293" spans="1:16" s="740" customFormat="1" x14ac:dyDescent="0.25">
      <c r="A293" s="731"/>
      <c r="B293" s="732" t="s">
        <v>381</v>
      </c>
      <c r="C293" s="757">
        <v>288855</v>
      </c>
      <c r="D293" s="758">
        <v>53376</v>
      </c>
      <c r="E293" s="734">
        <v>134879</v>
      </c>
      <c r="F293" s="786">
        <v>10446</v>
      </c>
      <c r="G293" s="792"/>
      <c r="H293" s="793">
        <f>SUM(C293:G293)</f>
        <v>487556</v>
      </c>
      <c r="I293" s="746">
        <v>25474</v>
      </c>
      <c r="J293" s="735"/>
      <c r="K293" s="792"/>
      <c r="L293" s="736">
        <f>SUM(I293:K293)</f>
        <v>25474</v>
      </c>
      <c r="M293" s="739">
        <f>SUM(H293+L293)</f>
        <v>513030</v>
      </c>
      <c r="N293" s="739"/>
      <c r="O293" s="739">
        <f>SUM(M293+N293)</f>
        <v>513030</v>
      </c>
    </row>
    <row r="294" spans="1:16" s="740" customFormat="1" x14ac:dyDescent="0.25">
      <c r="A294" s="731"/>
      <c r="B294" s="732" t="s">
        <v>380</v>
      </c>
      <c r="C294" s="757">
        <v>4834</v>
      </c>
      <c r="D294" s="758">
        <v>1256</v>
      </c>
      <c r="E294" s="734">
        <v>3709</v>
      </c>
      <c r="F294" s="786"/>
      <c r="G294" s="794"/>
      <c r="H294" s="793">
        <f>SUM(C294:G294)</f>
        <v>9799</v>
      </c>
      <c r="I294" s="746">
        <v>2866</v>
      </c>
      <c r="J294" s="735"/>
      <c r="K294" s="792"/>
      <c r="L294" s="736">
        <f>SUM(I294:K294)</f>
        <v>2866</v>
      </c>
      <c r="M294" s="739">
        <f>SUM(H294+L294)</f>
        <v>12665</v>
      </c>
      <c r="N294" s="739"/>
      <c r="O294" s="739">
        <f>SUM(M294+N294)</f>
        <v>12665</v>
      </c>
    </row>
    <row r="295" spans="1:16" s="740" customFormat="1" x14ac:dyDescent="0.25">
      <c r="A295" s="731"/>
      <c r="B295" s="732" t="s">
        <v>131</v>
      </c>
      <c r="C295" s="757"/>
      <c r="D295" s="758"/>
      <c r="E295" s="734"/>
      <c r="F295" s="786"/>
      <c r="G295" s="794"/>
      <c r="H295" s="793"/>
      <c r="I295" s="746"/>
      <c r="J295" s="735"/>
      <c r="K295" s="792"/>
      <c r="L295" s="736"/>
      <c r="M295" s="739"/>
      <c r="N295" s="739"/>
      <c r="O295" s="739"/>
    </row>
    <row r="296" spans="1:16" s="740" customFormat="1" ht="47.25" x14ac:dyDescent="0.25">
      <c r="A296" s="731"/>
      <c r="B296" s="679" t="s">
        <v>1215</v>
      </c>
      <c r="C296" s="787">
        <v>823</v>
      </c>
      <c r="D296" s="788">
        <v>128</v>
      </c>
      <c r="E296" s="763"/>
      <c r="F296" s="789"/>
      <c r="G296" s="795"/>
      <c r="H296" s="796">
        <f t="shared" ref="H296:H298" si="193">SUM(C296:G296)</f>
        <v>951</v>
      </c>
      <c r="I296" s="767"/>
      <c r="J296" s="764"/>
      <c r="K296" s="797"/>
      <c r="L296" s="749">
        <f t="shared" ref="L296:L298" si="194">SUM(I296:K296)</f>
        <v>0</v>
      </c>
      <c r="M296" s="750">
        <f t="shared" ref="M296:M298" si="195">SUM(H296+L296)</f>
        <v>951</v>
      </c>
      <c r="N296" s="750"/>
      <c r="O296" s="750">
        <f t="shared" ref="O296:O298" si="196">SUM(M296+N296)</f>
        <v>951</v>
      </c>
    </row>
    <row r="297" spans="1:16" s="740" customFormat="1" ht="31.5" x14ac:dyDescent="0.25">
      <c r="A297" s="731"/>
      <c r="B297" s="679" t="s">
        <v>564</v>
      </c>
      <c r="C297" s="787"/>
      <c r="D297" s="788"/>
      <c r="E297" s="763">
        <v>10446</v>
      </c>
      <c r="F297" s="789">
        <v>-10446</v>
      </c>
      <c r="G297" s="795"/>
      <c r="H297" s="796">
        <f t="shared" si="193"/>
        <v>0</v>
      </c>
      <c r="I297" s="767"/>
      <c r="J297" s="764"/>
      <c r="K297" s="797"/>
      <c r="L297" s="749">
        <f t="shared" si="194"/>
        <v>0</v>
      </c>
      <c r="M297" s="750">
        <f t="shared" si="195"/>
        <v>0</v>
      </c>
      <c r="N297" s="750"/>
      <c r="O297" s="750">
        <f t="shared" si="196"/>
        <v>0</v>
      </c>
    </row>
    <row r="298" spans="1:16" s="740" customFormat="1" ht="31.5" x14ac:dyDescent="0.25">
      <c r="A298" s="731"/>
      <c r="B298" s="679" t="s">
        <v>915</v>
      </c>
      <c r="C298" s="787"/>
      <c r="D298" s="788"/>
      <c r="E298" s="763">
        <f>715+11</f>
        <v>726</v>
      </c>
      <c r="F298" s="789"/>
      <c r="G298" s="795"/>
      <c r="H298" s="796">
        <f t="shared" si="193"/>
        <v>726</v>
      </c>
      <c r="I298" s="767"/>
      <c r="J298" s="764"/>
      <c r="K298" s="797"/>
      <c r="L298" s="749">
        <f t="shared" si="194"/>
        <v>0</v>
      </c>
      <c r="M298" s="750">
        <f t="shared" si="195"/>
        <v>726</v>
      </c>
      <c r="N298" s="750"/>
      <c r="O298" s="750">
        <f t="shared" si="196"/>
        <v>726</v>
      </c>
    </row>
    <row r="299" spans="1:16" s="740" customFormat="1" x14ac:dyDescent="0.25">
      <c r="A299" s="731"/>
      <c r="B299" s="732" t="s">
        <v>132</v>
      </c>
      <c r="C299" s="787"/>
      <c r="D299" s="788"/>
      <c r="E299" s="763"/>
      <c r="F299" s="789"/>
      <c r="G299" s="795"/>
      <c r="H299" s="796"/>
      <c r="I299" s="767"/>
      <c r="J299" s="764"/>
      <c r="K299" s="797"/>
      <c r="L299" s="749"/>
      <c r="M299" s="750"/>
      <c r="N299" s="750"/>
      <c r="O299" s="750"/>
    </row>
    <row r="300" spans="1:16" s="740" customFormat="1" ht="47.25" x14ac:dyDescent="0.25">
      <c r="A300" s="731"/>
      <c r="B300" s="679" t="s">
        <v>1220</v>
      </c>
      <c r="C300" s="787"/>
      <c r="D300" s="788"/>
      <c r="E300" s="763">
        <v>-9</v>
      </c>
      <c r="F300" s="789"/>
      <c r="G300" s="795"/>
      <c r="H300" s="796">
        <f>SUM(C300:G300)</f>
        <v>-9</v>
      </c>
      <c r="I300" s="767"/>
      <c r="J300" s="764"/>
      <c r="K300" s="797"/>
      <c r="L300" s="749">
        <f>SUM(I300:K300)</f>
        <v>0</v>
      </c>
      <c r="M300" s="750">
        <f>SUM(H300+L300)</f>
        <v>-9</v>
      </c>
      <c r="N300" s="750"/>
      <c r="O300" s="750">
        <f>SUM(M300+N300)</f>
        <v>-9</v>
      </c>
    </row>
    <row r="301" spans="1:16" s="740" customFormat="1" ht="32.25" thickBot="1" x14ac:dyDescent="0.3">
      <c r="A301" s="731"/>
      <c r="B301" s="679" t="s">
        <v>915</v>
      </c>
      <c r="C301" s="787"/>
      <c r="D301" s="788"/>
      <c r="E301" s="763">
        <v>4</v>
      </c>
      <c r="F301" s="789"/>
      <c r="G301" s="795"/>
      <c r="H301" s="796">
        <f>SUM(C301:G301)</f>
        <v>4</v>
      </c>
      <c r="I301" s="767"/>
      <c r="J301" s="764"/>
      <c r="K301" s="797"/>
      <c r="L301" s="749">
        <f>SUM(I301:K301)</f>
        <v>0</v>
      </c>
      <c r="M301" s="750">
        <f>SUM(H301+L301)</f>
        <v>4</v>
      </c>
      <c r="N301" s="750"/>
      <c r="O301" s="750">
        <f>SUM(M301+N301)</f>
        <v>4</v>
      </c>
    </row>
    <row r="302" spans="1:16" ht="17.25" thickTop="1" thickBot="1" x14ac:dyDescent="0.3">
      <c r="A302" s="743"/>
      <c r="B302" s="744" t="s">
        <v>379</v>
      </c>
      <c r="C302" s="745">
        <f>+C292+C296+C297+C298+C300+C301</f>
        <v>294512</v>
      </c>
      <c r="D302" s="745">
        <f t="shared" ref="D302:O302" si="197">+D292+D296+D297+D298+D300+D301</f>
        <v>54760</v>
      </c>
      <c r="E302" s="745">
        <f t="shared" si="197"/>
        <v>149755</v>
      </c>
      <c r="F302" s="745">
        <f t="shared" si="197"/>
        <v>0</v>
      </c>
      <c r="G302" s="745">
        <f t="shared" si="197"/>
        <v>0</v>
      </c>
      <c r="H302" s="745">
        <f t="shared" si="197"/>
        <v>499027</v>
      </c>
      <c r="I302" s="745">
        <f t="shared" si="197"/>
        <v>28340</v>
      </c>
      <c r="J302" s="745">
        <f t="shared" si="197"/>
        <v>0</v>
      </c>
      <c r="K302" s="745">
        <f t="shared" si="197"/>
        <v>0</v>
      </c>
      <c r="L302" s="745">
        <f t="shared" si="197"/>
        <v>28340</v>
      </c>
      <c r="M302" s="745">
        <f t="shared" si="197"/>
        <v>527367</v>
      </c>
      <c r="N302" s="745">
        <f t="shared" si="197"/>
        <v>0</v>
      </c>
      <c r="O302" s="745">
        <f t="shared" si="197"/>
        <v>527367</v>
      </c>
      <c r="P302" s="650">
        <f>O303+O304</f>
        <v>527367</v>
      </c>
    </row>
    <row r="303" spans="1:16" ht="17.25" thickTop="1" thickBot="1" x14ac:dyDescent="0.3">
      <c r="A303" s="743"/>
      <c r="B303" s="744" t="s">
        <v>378</v>
      </c>
      <c r="C303" s="745">
        <f>+C293+C296+C297+C298</f>
        <v>289678</v>
      </c>
      <c r="D303" s="745">
        <f t="shared" ref="D303:O303" si="198">+D293+D296+D297+D298</f>
        <v>53504</v>
      </c>
      <c r="E303" s="745">
        <f t="shared" si="198"/>
        <v>146051</v>
      </c>
      <c r="F303" s="745">
        <f t="shared" si="198"/>
        <v>0</v>
      </c>
      <c r="G303" s="745">
        <f t="shared" si="198"/>
        <v>0</v>
      </c>
      <c r="H303" s="745">
        <f t="shared" si="198"/>
        <v>489233</v>
      </c>
      <c r="I303" s="745">
        <f t="shared" si="198"/>
        <v>25474</v>
      </c>
      <c r="J303" s="745">
        <f t="shared" si="198"/>
        <v>0</v>
      </c>
      <c r="K303" s="745">
        <f t="shared" si="198"/>
        <v>0</v>
      </c>
      <c r="L303" s="745">
        <f t="shared" si="198"/>
        <v>25474</v>
      </c>
      <c r="M303" s="745">
        <f t="shared" si="198"/>
        <v>514707</v>
      </c>
      <c r="N303" s="745">
        <f t="shared" si="198"/>
        <v>0</v>
      </c>
      <c r="O303" s="745">
        <f t="shared" si="198"/>
        <v>514707</v>
      </c>
    </row>
    <row r="304" spans="1:16" ht="17.25" thickTop="1" thickBot="1" x14ac:dyDescent="0.3">
      <c r="A304" s="743"/>
      <c r="B304" s="744" t="s">
        <v>377</v>
      </c>
      <c r="C304" s="745">
        <f>+C294+C300+C301</f>
        <v>4834</v>
      </c>
      <c r="D304" s="745">
        <f t="shared" ref="D304:O304" si="199">+D294+D300+D301</f>
        <v>1256</v>
      </c>
      <c r="E304" s="745">
        <f t="shared" si="199"/>
        <v>3704</v>
      </c>
      <c r="F304" s="745">
        <f t="shared" si="199"/>
        <v>0</v>
      </c>
      <c r="G304" s="745">
        <f t="shared" si="199"/>
        <v>0</v>
      </c>
      <c r="H304" s="745">
        <f t="shared" si="199"/>
        <v>9794</v>
      </c>
      <c r="I304" s="745">
        <f t="shared" si="199"/>
        <v>2866</v>
      </c>
      <c r="J304" s="745">
        <f t="shared" si="199"/>
        <v>0</v>
      </c>
      <c r="K304" s="745">
        <f t="shared" si="199"/>
        <v>0</v>
      </c>
      <c r="L304" s="745">
        <f t="shared" si="199"/>
        <v>2866</v>
      </c>
      <c r="M304" s="745">
        <f t="shared" si="199"/>
        <v>12660</v>
      </c>
      <c r="N304" s="745">
        <f t="shared" si="199"/>
        <v>0</v>
      </c>
      <c r="O304" s="745">
        <f t="shared" si="199"/>
        <v>12660</v>
      </c>
    </row>
    <row r="305" spans="1:16" ht="16.5" thickTop="1" x14ac:dyDescent="0.25">
      <c r="A305" s="723" t="s">
        <v>17</v>
      </c>
      <c r="B305" s="751" t="s">
        <v>389</v>
      </c>
      <c r="C305" s="752"/>
      <c r="D305" s="753"/>
      <c r="E305" s="726"/>
      <c r="F305" s="755"/>
      <c r="G305" s="753"/>
      <c r="H305" s="728"/>
      <c r="I305" s="754"/>
      <c r="J305" s="755"/>
      <c r="K305" s="755"/>
      <c r="L305" s="728"/>
      <c r="M305" s="756"/>
      <c r="N305" s="756"/>
      <c r="O305" s="756"/>
    </row>
    <row r="306" spans="1:16" x14ac:dyDescent="0.25">
      <c r="A306" s="723"/>
      <c r="B306" s="679" t="s">
        <v>347</v>
      </c>
      <c r="C306" s="752">
        <f>SUM(C307:C308)</f>
        <v>458336</v>
      </c>
      <c r="D306" s="752">
        <f>SUM(D307:D308)</f>
        <v>84532</v>
      </c>
      <c r="E306" s="752">
        <f>SUM(E307:E308)</f>
        <v>320954</v>
      </c>
      <c r="F306" s="755"/>
      <c r="G306" s="753">
        <v>34520</v>
      </c>
      <c r="H306" s="728">
        <f t="shared" ref="H306:H314" si="200">SUM(C306:G306)</f>
        <v>898342</v>
      </c>
      <c r="I306" s="729">
        <f>SUM(I307:I308)</f>
        <v>19862</v>
      </c>
      <c r="J306" s="729">
        <f>SUM(J307:J308)</f>
        <v>1852</v>
      </c>
      <c r="K306" s="727"/>
      <c r="L306" s="728">
        <f t="shared" ref="L306:L314" si="201">SUM(I306:K306)</f>
        <v>21714</v>
      </c>
      <c r="M306" s="730">
        <f t="shared" ref="M306:M314" si="202">SUM(H306+L306)</f>
        <v>920056</v>
      </c>
      <c r="N306" s="730"/>
      <c r="O306" s="730">
        <f t="shared" ref="O306:O314" si="203">SUM(M306+N306)</f>
        <v>920056</v>
      </c>
      <c r="P306" s="650"/>
    </row>
    <row r="307" spans="1:16" s="740" customFormat="1" x14ac:dyDescent="0.25">
      <c r="A307" s="731"/>
      <c r="B307" s="732" t="s">
        <v>381</v>
      </c>
      <c r="C307" s="757">
        <v>451596</v>
      </c>
      <c r="D307" s="758">
        <v>82785</v>
      </c>
      <c r="E307" s="734">
        <v>320925</v>
      </c>
      <c r="F307" s="786"/>
      <c r="G307" s="758">
        <v>34520</v>
      </c>
      <c r="H307" s="736">
        <f t="shared" si="200"/>
        <v>889826</v>
      </c>
      <c r="I307" s="746">
        <v>19862</v>
      </c>
      <c r="J307" s="735">
        <v>1852</v>
      </c>
      <c r="K307" s="735"/>
      <c r="L307" s="736">
        <f t="shared" si="201"/>
        <v>21714</v>
      </c>
      <c r="M307" s="739">
        <f t="shared" si="202"/>
        <v>911540</v>
      </c>
      <c r="N307" s="739"/>
      <c r="O307" s="739">
        <f t="shared" si="203"/>
        <v>911540</v>
      </c>
    </row>
    <row r="308" spans="1:16" s="740" customFormat="1" x14ac:dyDescent="0.25">
      <c r="A308" s="798"/>
      <c r="B308" s="732" t="s">
        <v>380</v>
      </c>
      <c r="C308" s="799">
        <v>6740</v>
      </c>
      <c r="D308" s="800">
        <v>1747</v>
      </c>
      <c r="E308" s="801">
        <v>29</v>
      </c>
      <c r="F308" s="783"/>
      <c r="G308" s="800"/>
      <c r="H308" s="730">
        <f t="shared" si="200"/>
        <v>8516</v>
      </c>
      <c r="I308" s="741"/>
      <c r="J308" s="742"/>
      <c r="K308" s="742"/>
      <c r="L308" s="730">
        <f t="shared" si="201"/>
        <v>0</v>
      </c>
      <c r="M308" s="730">
        <f t="shared" si="202"/>
        <v>8516</v>
      </c>
      <c r="N308" s="730"/>
      <c r="O308" s="730">
        <f t="shared" si="203"/>
        <v>8516</v>
      </c>
    </row>
    <row r="309" spans="1:16" s="740" customFormat="1" x14ac:dyDescent="0.25">
      <c r="A309" s="775"/>
      <c r="B309" s="748" t="s">
        <v>131</v>
      </c>
      <c r="C309" s="746"/>
      <c r="D309" s="734"/>
      <c r="E309" s="734"/>
      <c r="F309" s="734"/>
      <c r="G309" s="746"/>
      <c r="H309" s="730">
        <f t="shared" si="200"/>
        <v>0</v>
      </c>
      <c r="I309" s="729"/>
      <c r="J309" s="726"/>
      <c r="K309" s="729"/>
      <c r="L309" s="730">
        <f t="shared" si="201"/>
        <v>0</v>
      </c>
      <c r="M309" s="730">
        <f t="shared" si="202"/>
        <v>0</v>
      </c>
      <c r="N309" s="730"/>
      <c r="O309" s="730">
        <f t="shared" si="203"/>
        <v>0</v>
      </c>
    </row>
    <row r="310" spans="1:16" ht="31.5" x14ac:dyDescent="0.25">
      <c r="A310" s="802"/>
      <c r="B310" s="679" t="s">
        <v>564</v>
      </c>
      <c r="C310" s="767"/>
      <c r="D310" s="763"/>
      <c r="E310" s="763">
        <v>-15508</v>
      </c>
      <c r="F310" s="763"/>
      <c r="G310" s="767">
        <v>1</v>
      </c>
      <c r="H310" s="750">
        <f t="shared" si="200"/>
        <v>-15507</v>
      </c>
      <c r="I310" s="767">
        <v>15507</v>
      </c>
      <c r="J310" s="763"/>
      <c r="K310" s="767"/>
      <c r="L310" s="750">
        <f t="shared" si="201"/>
        <v>15507</v>
      </c>
      <c r="M310" s="750">
        <f t="shared" si="202"/>
        <v>0</v>
      </c>
      <c r="N310" s="750"/>
      <c r="O310" s="750">
        <f t="shared" si="203"/>
        <v>0</v>
      </c>
    </row>
    <row r="311" spans="1:16" ht="31.5" x14ac:dyDescent="0.25">
      <c r="A311" s="802"/>
      <c r="B311" s="679" t="s">
        <v>915</v>
      </c>
      <c r="C311" s="767"/>
      <c r="D311" s="763"/>
      <c r="E311" s="763">
        <v>33095</v>
      </c>
      <c r="F311" s="763"/>
      <c r="G311" s="767"/>
      <c r="H311" s="750">
        <f t="shared" si="200"/>
        <v>33095</v>
      </c>
      <c r="I311" s="767"/>
      <c r="J311" s="763"/>
      <c r="K311" s="767"/>
      <c r="L311" s="750">
        <f t="shared" si="201"/>
        <v>0</v>
      </c>
      <c r="M311" s="750">
        <f t="shared" si="202"/>
        <v>33095</v>
      </c>
      <c r="N311" s="750"/>
      <c r="O311" s="750">
        <f t="shared" si="203"/>
        <v>33095</v>
      </c>
    </row>
    <row r="312" spans="1:16" s="740" customFormat="1" x14ac:dyDescent="0.25">
      <c r="A312" s="775"/>
      <c r="B312" s="748" t="s">
        <v>132</v>
      </c>
      <c r="C312" s="746"/>
      <c r="D312" s="734"/>
      <c r="E312" s="734"/>
      <c r="F312" s="734"/>
      <c r="G312" s="746"/>
      <c r="H312" s="728"/>
      <c r="I312" s="729"/>
      <c r="J312" s="726"/>
      <c r="K312" s="729"/>
      <c r="L312" s="728"/>
      <c r="M312" s="728"/>
      <c r="N312" s="728"/>
      <c r="O312" s="728"/>
    </row>
    <row r="313" spans="1:16" ht="47.25" x14ac:dyDescent="0.25">
      <c r="A313" s="802"/>
      <c r="B313" s="679" t="s">
        <v>1221</v>
      </c>
      <c r="C313" s="767"/>
      <c r="D313" s="763"/>
      <c r="E313" s="763"/>
      <c r="F313" s="763"/>
      <c r="G313" s="767"/>
      <c r="H313" s="750">
        <f t="shared" si="200"/>
        <v>0</v>
      </c>
      <c r="I313" s="767">
        <v>1500</v>
      </c>
      <c r="J313" s="763"/>
      <c r="K313" s="767"/>
      <c r="L313" s="750">
        <f t="shared" si="201"/>
        <v>1500</v>
      </c>
      <c r="M313" s="750">
        <f t="shared" si="202"/>
        <v>1500</v>
      </c>
      <c r="N313" s="750"/>
      <c r="O313" s="750">
        <f t="shared" si="203"/>
        <v>1500</v>
      </c>
    </row>
    <row r="314" spans="1:16" ht="48" thickBot="1" x14ac:dyDescent="0.3">
      <c r="A314" s="802"/>
      <c r="B314" s="679" t="s">
        <v>1221</v>
      </c>
      <c r="C314" s="767"/>
      <c r="D314" s="763"/>
      <c r="E314" s="763">
        <v>630</v>
      </c>
      <c r="F314" s="763"/>
      <c r="G314" s="767"/>
      <c r="H314" s="750">
        <f t="shared" si="200"/>
        <v>630</v>
      </c>
      <c r="I314" s="767">
        <v>19370</v>
      </c>
      <c r="J314" s="763"/>
      <c r="K314" s="767"/>
      <c r="L314" s="750">
        <f t="shared" si="201"/>
        <v>19370</v>
      </c>
      <c r="M314" s="750">
        <f t="shared" si="202"/>
        <v>20000</v>
      </c>
      <c r="N314" s="750"/>
      <c r="O314" s="750">
        <f t="shared" si="203"/>
        <v>20000</v>
      </c>
    </row>
    <row r="315" spans="1:16" ht="17.25" thickTop="1" thickBot="1" x14ac:dyDescent="0.3">
      <c r="A315" s="743"/>
      <c r="B315" s="744" t="s">
        <v>379</v>
      </c>
      <c r="C315" s="745">
        <f>+C306+C310+C311+C313+C314</f>
        <v>458336</v>
      </c>
      <c r="D315" s="745">
        <f t="shared" ref="D315:O315" si="204">+D306+D310+D311+D313+D314</f>
        <v>84532</v>
      </c>
      <c r="E315" s="745">
        <f t="shared" si="204"/>
        <v>339171</v>
      </c>
      <c r="F315" s="745">
        <f t="shared" si="204"/>
        <v>0</v>
      </c>
      <c r="G315" s="745">
        <f t="shared" si="204"/>
        <v>34521</v>
      </c>
      <c r="H315" s="745">
        <f t="shared" si="204"/>
        <v>916560</v>
      </c>
      <c r="I315" s="745">
        <f t="shared" si="204"/>
        <v>56239</v>
      </c>
      <c r="J315" s="745">
        <f t="shared" si="204"/>
        <v>1852</v>
      </c>
      <c r="K315" s="745">
        <f t="shared" si="204"/>
        <v>0</v>
      </c>
      <c r="L315" s="745">
        <f t="shared" si="204"/>
        <v>58091</v>
      </c>
      <c r="M315" s="745">
        <f t="shared" si="204"/>
        <v>974651</v>
      </c>
      <c r="N315" s="745">
        <f t="shared" si="204"/>
        <v>0</v>
      </c>
      <c r="O315" s="745">
        <f t="shared" si="204"/>
        <v>974651</v>
      </c>
      <c r="P315" s="650">
        <f>O316+O317</f>
        <v>974651</v>
      </c>
    </row>
    <row r="316" spans="1:16" ht="17.25" thickTop="1" thickBot="1" x14ac:dyDescent="0.3">
      <c r="A316" s="743"/>
      <c r="B316" s="744" t="s">
        <v>378</v>
      </c>
      <c r="C316" s="745">
        <f>+C307+C310+C311</f>
        <v>451596</v>
      </c>
      <c r="D316" s="745">
        <f t="shared" ref="D316:O316" si="205">+D307+D310+D311</f>
        <v>82785</v>
      </c>
      <c r="E316" s="745">
        <f t="shared" si="205"/>
        <v>338512</v>
      </c>
      <c r="F316" s="745">
        <f t="shared" si="205"/>
        <v>0</v>
      </c>
      <c r="G316" s="745">
        <f t="shared" si="205"/>
        <v>34521</v>
      </c>
      <c r="H316" s="745">
        <f t="shared" si="205"/>
        <v>907414</v>
      </c>
      <c r="I316" s="745">
        <f t="shared" si="205"/>
        <v>35369</v>
      </c>
      <c r="J316" s="745">
        <f t="shared" si="205"/>
        <v>1852</v>
      </c>
      <c r="K316" s="745">
        <f t="shared" si="205"/>
        <v>0</v>
      </c>
      <c r="L316" s="745">
        <f t="shared" si="205"/>
        <v>37221</v>
      </c>
      <c r="M316" s="745">
        <f t="shared" si="205"/>
        <v>944635</v>
      </c>
      <c r="N316" s="745">
        <f t="shared" si="205"/>
        <v>0</v>
      </c>
      <c r="O316" s="745">
        <f t="shared" si="205"/>
        <v>944635</v>
      </c>
    </row>
    <row r="317" spans="1:16" ht="17.25" thickTop="1" thickBot="1" x14ac:dyDescent="0.3">
      <c r="A317" s="743"/>
      <c r="B317" s="744" t="s">
        <v>377</v>
      </c>
      <c r="C317" s="745">
        <f t="shared" ref="C317:O317" si="206">+C308+C313+C314</f>
        <v>6740</v>
      </c>
      <c r="D317" s="745">
        <f t="shared" si="206"/>
        <v>1747</v>
      </c>
      <c r="E317" s="745">
        <f t="shared" si="206"/>
        <v>659</v>
      </c>
      <c r="F317" s="745">
        <f t="shared" si="206"/>
        <v>0</v>
      </c>
      <c r="G317" s="745">
        <f t="shared" si="206"/>
        <v>0</v>
      </c>
      <c r="H317" s="745">
        <f t="shared" si="206"/>
        <v>9146</v>
      </c>
      <c r="I317" s="745">
        <f t="shared" si="206"/>
        <v>20870</v>
      </c>
      <c r="J317" s="745">
        <f t="shared" si="206"/>
        <v>0</v>
      </c>
      <c r="K317" s="745">
        <f t="shared" si="206"/>
        <v>0</v>
      </c>
      <c r="L317" s="745">
        <f t="shared" si="206"/>
        <v>20870</v>
      </c>
      <c r="M317" s="745">
        <f t="shared" si="206"/>
        <v>30016</v>
      </c>
      <c r="N317" s="745">
        <f t="shared" si="206"/>
        <v>0</v>
      </c>
      <c r="O317" s="745">
        <f t="shared" si="206"/>
        <v>30016</v>
      </c>
    </row>
    <row r="318" spans="1:16" ht="36.75" customHeight="1" thickTop="1" x14ac:dyDescent="0.25">
      <c r="A318" s="723" t="s">
        <v>18</v>
      </c>
      <c r="B318" s="751" t="s">
        <v>568</v>
      </c>
      <c r="C318" s="752"/>
      <c r="D318" s="753"/>
      <c r="E318" s="726"/>
      <c r="F318" s="755"/>
      <c r="G318" s="753"/>
      <c r="H318" s="728"/>
      <c r="I318" s="754"/>
      <c r="J318" s="755"/>
      <c r="K318" s="755"/>
      <c r="L318" s="728"/>
      <c r="M318" s="756"/>
      <c r="N318" s="756"/>
      <c r="O318" s="756"/>
    </row>
    <row r="319" spans="1:16" x14ac:dyDescent="0.25">
      <c r="A319" s="747"/>
      <c r="B319" s="724" t="s">
        <v>347</v>
      </c>
      <c r="C319" s="725">
        <f>SUM(C320)</f>
        <v>28231</v>
      </c>
      <c r="D319" s="725">
        <f>SUM(D320)</f>
        <v>4746</v>
      </c>
      <c r="E319" s="725">
        <f>SUM(E320)</f>
        <v>10344</v>
      </c>
      <c r="F319" s="727"/>
      <c r="G319" s="726"/>
      <c r="H319" s="728">
        <f>SUM(C319:G319)</f>
        <v>43321</v>
      </c>
      <c r="I319" s="729"/>
      <c r="J319" s="727"/>
      <c r="K319" s="727"/>
      <c r="L319" s="728">
        <f>SUM(I319:K319)</f>
        <v>0</v>
      </c>
      <c r="M319" s="730">
        <f>SUM(H319+L319)</f>
        <v>43321</v>
      </c>
      <c r="N319" s="730"/>
      <c r="O319" s="730">
        <f>SUM(M319+N319)</f>
        <v>43321</v>
      </c>
    </row>
    <row r="320" spans="1:16" s="740" customFormat="1" x14ac:dyDescent="0.25">
      <c r="A320" s="775"/>
      <c r="B320" s="732" t="s">
        <v>386</v>
      </c>
      <c r="C320" s="733">
        <v>28231</v>
      </c>
      <c r="D320" s="734">
        <v>4746</v>
      </c>
      <c r="E320" s="734">
        <v>10344</v>
      </c>
      <c r="F320" s="735"/>
      <c r="G320" s="792"/>
      <c r="H320" s="736">
        <f>SUM(C320:G320)</f>
        <v>43321</v>
      </c>
      <c r="I320" s="746"/>
      <c r="J320" s="735"/>
      <c r="K320" s="792"/>
      <c r="L320" s="749">
        <f>SUM(I320:K320)</f>
        <v>0</v>
      </c>
      <c r="M320" s="739">
        <f>SUM(H320+L320)</f>
        <v>43321</v>
      </c>
      <c r="N320" s="739"/>
      <c r="O320" s="739">
        <f>SUM(M320+N320)</f>
        <v>43321</v>
      </c>
    </row>
    <row r="321" spans="1:15" s="740" customFormat="1" x14ac:dyDescent="0.25">
      <c r="A321" s="775"/>
      <c r="B321" s="732" t="s">
        <v>132</v>
      </c>
      <c r="C321" s="733"/>
      <c r="D321" s="734"/>
      <c r="E321" s="734"/>
      <c r="F321" s="735"/>
      <c r="G321" s="792"/>
      <c r="H321" s="736"/>
      <c r="I321" s="746"/>
      <c r="J321" s="735"/>
      <c r="K321" s="792"/>
      <c r="L321" s="749"/>
      <c r="M321" s="739"/>
      <c r="N321" s="739"/>
      <c r="O321" s="739"/>
    </row>
    <row r="322" spans="1:15" s="740" customFormat="1" ht="32.25" thickBot="1" x14ac:dyDescent="0.3">
      <c r="A322" s="928"/>
      <c r="B322" s="937" t="s">
        <v>915</v>
      </c>
      <c r="C322" s="930"/>
      <c r="D322" s="931"/>
      <c r="E322" s="931">
        <v>1</v>
      </c>
      <c r="F322" s="938"/>
      <c r="G322" s="940"/>
      <c r="H322" s="934">
        <f t="shared" ref="H322" si="207">SUM(C322:G322)</f>
        <v>1</v>
      </c>
      <c r="I322" s="939"/>
      <c r="J322" s="938"/>
      <c r="K322" s="940"/>
      <c r="L322" s="934">
        <f t="shared" ref="L322" si="208">SUM(I322:K322)</f>
        <v>0</v>
      </c>
      <c r="M322" s="934">
        <f t="shared" ref="M322" si="209">SUM(H322+L322)</f>
        <v>1</v>
      </c>
      <c r="N322" s="934"/>
      <c r="O322" s="934">
        <f t="shared" ref="O322" si="210">SUM(M322+N322)</f>
        <v>1</v>
      </c>
    </row>
    <row r="323" spans="1:15" ht="17.25" thickTop="1" thickBot="1" x14ac:dyDescent="0.3">
      <c r="A323" s="743"/>
      <c r="B323" s="744" t="s">
        <v>379</v>
      </c>
      <c r="C323" s="745">
        <f>+C319+C322</f>
        <v>28231</v>
      </c>
      <c r="D323" s="745">
        <f t="shared" ref="D323:O323" si="211">+D319+D322</f>
        <v>4746</v>
      </c>
      <c r="E323" s="745">
        <f t="shared" si="211"/>
        <v>10345</v>
      </c>
      <c r="F323" s="745">
        <f t="shared" si="211"/>
        <v>0</v>
      </c>
      <c r="G323" s="745">
        <f t="shared" si="211"/>
        <v>0</v>
      </c>
      <c r="H323" s="745">
        <f t="shared" si="211"/>
        <v>43322</v>
      </c>
      <c r="I323" s="745">
        <f t="shared" si="211"/>
        <v>0</v>
      </c>
      <c r="J323" s="745">
        <f t="shared" si="211"/>
        <v>0</v>
      </c>
      <c r="K323" s="745">
        <f t="shared" si="211"/>
        <v>0</v>
      </c>
      <c r="L323" s="745">
        <f t="shared" si="211"/>
        <v>0</v>
      </c>
      <c r="M323" s="745">
        <f t="shared" si="211"/>
        <v>43322</v>
      </c>
      <c r="N323" s="745">
        <f t="shared" si="211"/>
        <v>0</v>
      </c>
      <c r="O323" s="745">
        <f t="shared" si="211"/>
        <v>43322</v>
      </c>
    </row>
    <row r="324" spans="1:15" ht="17.25" thickTop="1" thickBot="1" x14ac:dyDescent="0.3">
      <c r="A324" s="743"/>
      <c r="B324" s="744" t="s">
        <v>385</v>
      </c>
      <c r="C324" s="745">
        <f>+C320+C322</f>
        <v>28231</v>
      </c>
      <c r="D324" s="745">
        <f t="shared" ref="D324:O324" si="212">+D320+D322</f>
        <v>4746</v>
      </c>
      <c r="E324" s="745">
        <f t="shared" si="212"/>
        <v>10345</v>
      </c>
      <c r="F324" s="745">
        <f t="shared" si="212"/>
        <v>0</v>
      </c>
      <c r="G324" s="745">
        <f t="shared" si="212"/>
        <v>0</v>
      </c>
      <c r="H324" s="745">
        <f t="shared" si="212"/>
        <v>43322</v>
      </c>
      <c r="I324" s="745">
        <f t="shared" si="212"/>
        <v>0</v>
      </c>
      <c r="J324" s="745">
        <f t="shared" si="212"/>
        <v>0</v>
      </c>
      <c r="K324" s="745">
        <f t="shared" si="212"/>
        <v>0</v>
      </c>
      <c r="L324" s="745">
        <f t="shared" si="212"/>
        <v>0</v>
      </c>
      <c r="M324" s="745">
        <f t="shared" si="212"/>
        <v>43322</v>
      </c>
      <c r="N324" s="745">
        <f t="shared" si="212"/>
        <v>0</v>
      </c>
      <c r="O324" s="745">
        <f t="shared" si="212"/>
        <v>43322</v>
      </c>
    </row>
    <row r="325" spans="1:15" ht="16.5" thickTop="1" x14ac:dyDescent="0.25">
      <c r="A325" s="723" t="s">
        <v>19</v>
      </c>
      <c r="B325" s="751" t="s">
        <v>388</v>
      </c>
      <c r="C325" s="752"/>
      <c r="D325" s="753"/>
      <c r="E325" s="726"/>
      <c r="F325" s="755"/>
      <c r="G325" s="753"/>
      <c r="H325" s="728"/>
      <c r="I325" s="754"/>
      <c r="J325" s="755"/>
      <c r="K325" s="755"/>
      <c r="L325" s="728"/>
      <c r="M325" s="756"/>
      <c r="N325" s="756"/>
      <c r="O325" s="756"/>
    </row>
    <row r="326" spans="1:15" x14ac:dyDescent="0.25">
      <c r="A326" s="747"/>
      <c r="B326" s="724" t="s">
        <v>347</v>
      </c>
      <c r="C326" s="725">
        <f>SUM(C327)</f>
        <v>188386</v>
      </c>
      <c r="D326" s="725">
        <f>SUM(D327)</f>
        <v>34963</v>
      </c>
      <c r="E326" s="725">
        <f>SUM(E327)</f>
        <v>121437</v>
      </c>
      <c r="F326" s="727"/>
      <c r="G326" s="726"/>
      <c r="H326" s="728">
        <f>SUM(C326:G326)</f>
        <v>344786</v>
      </c>
      <c r="I326" s="729">
        <f>SUM(I327)</f>
        <v>7908</v>
      </c>
      <c r="J326" s="727"/>
      <c r="K326" s="727">
        <f>SUM(K327)</f>
        <v>0</v>
      </c>
      <c r="L326" s="728">
        <f>SUM(I326:K326)</f>
        <v>7908</v>
      </c>
      <c r="M326" s="730">
        <f>SUM(H326+L326)</f>
        <v>352694</v>
      </c>
      <c r="N326" s="730"/>
      <c r="O326" s="730">
        <f>SUM(M326+N326)</f>
        <v>352694</v>
      </c>
    </row>
    <row r="327" spans="1:15" s="740" customFormat="1" x14ac:dyDescent="0.25">
      <c r="A327" s="775"/>
      <c r="B327" s="732" t="s">
        <v>386</v>
      </c>
      <c r="C327" s="733">
        <v>188386</v>
      </c>
      <c r="D327" s="734">
        <v>34963</v>
      </c>
      <c r="E327" s="734">
        <v>121437</v>
      </c>
      <c r="F327" s="735"/>
      <c r="G327" s="792"/>
      <c r="H327" s="736">
        <f>SUM(C327:G327)</f>
        <v>344786</v>
      </c>
      <c r="I327" s="746">
        <v>7908</v>
      </c>
      <c r="J327" s="735"/>
      <c r="K327" s="792"/>
      <c r="L327" s="736">
        <f>SUM(I327:K327)</f>
        <v>7908</v>
      </c>
      <c r="M327" s="739">
        <f>SUM(H327+L327)</f>
        <v>352694</v>
      </c>
      <c r="N327" s="739"/>
      <c r="O327" s="739">
        <f>SUM(M327+N327)</f>
        <v>352694</v>
      </c>
    </row>
    <row r="328" spans="1:15" s="740" customFormat="1" x14ac:dyDescent="0.25">
      <c r="A328" s="775"/>
      <c r="B328" s="732" t="s">
        <v>132</v>
      </c>
      <c r="C328" s="733"/>
      <c r="D328" s="734"/>
      <c r="E328" s="734"/>
      <c r="F328" s="735"/>
      <c r="G328" s="792"/>
      <c r="H328" s="736"/>
      <c r="I328" s="746"/>
      <c r="J328" s="735"/>
      <c r="K328" s="792"/>
      <c r="L328" s="736"/>
      <c r="M328" s="739"/>
      <c r="N328" s="739"/>
      <c r="O328" s="739"/>
    </row>
    <row r="329" spans="1:15" s="740" customFormat="1" ht="32.25" thickBot="1" x14ac:dyDescent="0.3">
      <c r="A329" s="775"/>
      <c r="B329" s="679" t="s">
        <v>564</v>
      </c>
      <c r="C329" s="762"/>
      <c r="D329" s="763"/>
      <c r="E329" s="763">
        <v>-572</v>
      </c>
      <c r="F329" s="764"/>
      <c r="G329" s="797"/>
      <c r="H329" s="749">
        <f t="shared" ref="H329" si="213">SUM(C329:G329)</f>
        <v>-572</v>
      </c>
      <c r="I329" s="767">
        <v>572</v>
      </c>
      <c r="J329" s="764"/>
      <c r="K329" s="797"/>
      <c r="L329" s="749">
        <f t="shared" ref="L329" si="214">SUM(I329:K329)</f>
        <v>572</v>
      </c>
      <c r="M329" s="750">
        <f t="shared" ref="M329" si="215">SUM(H329+L329)</f>
        <v>0</v>
      </c>
      <c r="N329" s="750"/>
      <c r="O329" s="750">
        <f t="shared" ref="O329" si="216">SUM(M329+N329)</f>
        <v>0</v>
      </c>
    </row>
    <row r="330" spans="1:15" ht="17.25" thickTop="1" thickBot="1" x14ac:dyDescent="0.3">
      <c r="A330" s="743"/>
      <c r="B330" s="744" t="s">
        <v>379</v>
      </c>
      <c r="C330" s="745">
        <f>+C326+C329</f>
        <v>188386</v>
      </c>
      <c r="D330" s="745">
        <f t="shared" ref="D330:O330" si="217">+D326+D329</f>
        <v>34963</v>
      </c>
      <c r="E330" s="745">
        <f t="shared" si="217"/>
        <v>120865</v>
      </c>
      <c r="F330" s="745">
        <f t="shared" si="217"/>
        <v>0</v>
      </c>
      <c r="G330" s="745">
        <f t="shared" si="217"/>
        <v>0</v>
      </c>
      <c r="H330" s="745">
        <f t="shared" si="217"/>
        <v>344214</v>
      </c>
      <c r="I330" s="745">
        <f t="shared" si="217"/>
        <v>8480</v>
      </c>
      <c r="J330" s="745">
        <f t="shared" si="217"/>
        <v>0</v>
      </c>
      <c r="K330" s="745">
        <f t="shared" si="217"/>
        <v>0</v>
      </c>
      <c r="L330" s="745">
        <f t="shared" si="217"/>
        <v>8480</v>
      </c>
      <c r="M330" s="745">
        <f t="shared" si="217"/>
        <v>352694</v>
      </c>
      <c r="N330" s="745">
        <f t="shared" si="217"/>
        <v>0</v>
      </c>
      <c r="O330" s="745">
        <f t="shared" si="217"/>
        <v>352694</v>
      </c>
    </row>
    <row r="331" spans="1:15" ht="17.25" thickTop="1" thickBot="1" x14ac:dyDescent="0.3">
      <c r="A331" s="743"/>
      <c r="B331" s="744" t="s">
        <v>385</v>
      </c>
      <c r="C331" s="745">
        <f>+C327+C329</f>
        <v>188386</v>
      </c>
      <c r="D331" s="745">
        <f t="shared" ref="D331:O331" si="218">+D327+D329</f>
        <v>34963</v>
      </c>
      <c r="E331" s="745">
        <f t="shared" si="218"/>
        <v>120865</v>
      </c>
      <c r="F331" s="745">
        <f t="shared" si="218"/>
        <v>0</v>
      </c>
      <c r="G331" s="745">
        <f t="shared" si="218"/>
        <v>0</v>
      </c>
      <c r="H331" s="745">
        <f t="shared" si="218"/>
        <v>344214</v>
      </c>
      <c r="I331" s="745">
        <f t="shared" si="218"/>
        <v>8480</v>
      </c>
      <c r="J331" s="745">
        <f t="shared" si="218"/>
        <v>0</v>
      </c>
      <c r="K331" s="745">
        <f t="shared" si="218"/>
        <v>0</v>
      </c>
      <c r="L331" s="745">
        <f t="shared" si="218"/>
        <v>8480</v>
      </c>
      <c r="M331" s="745">
        <f t="shared" si="218"/>
        <v>352694</v>
      </c>
      <c r="N331" s="745">
        <f t="shared" si="218"/>
        <v>0</v>
      </c>
      <c r="O331" s="745">
        <f t="shared" si="218"/>
        <v>352694</v>
      </c>
    </row>
    <row r="332" spans="1:15" ht="16.5" thickTop="1" x14ac:dyDescent="0.25">
      <c r="A332" s="723" t="s">
        <v>20</v>
      </c>
      <c r="B332" s="751" t="s">
        <v>387</v>
      </c>
      <c r="C332" s="752"/>
      <c r="D332" s="753"/>
      <c r="E332" s="726"/>
      <c r="F332" s="755"/>
      <c r="G332" s="753"/>
      <c r="H332" s="728"/>
      <c r="I332" s="754"/>
      <c r="J332" s="755"/>
      <c r="K332" s="755"/>
      <c r="L332" s="728"/>
      <c r="M332" s="756"/>
      <c r="N332" s="756"/>
      <c r="O332" s="756"/>
    </row>
    <row r="333" spans="1:15" x14ac:dyDescent="0.25">
      <c r="A333" s="723"/>
      <c r="B333" s="679" t="s">
        <v>347</v>
      </c>
      <c r="C333" s="752">
        <f>SUM(C334)</f>
        <v>540233</v>
      </c>
      <c r="D333" s="752">
        <f>SUM(D334)</f>
        <v>97583</v>
      </c>
      <c r="E333" s="752">
        <f>SUM(E334)</f>
        <v>548866</v>
      </c>
      <c r="F333" s="755"/>
      <c r="G333" s="753">
        <v>47000</v>
      </c>
      <c r="H333" s="728">
        <f>SUM(C333:G333)</f>
        <v>1233682</v>
      </c>
      <c r="I333" s="729">
        <f>SUM(I334)</f>
        <v>87011</v>
      </c>
      <c r="J333" s="729">
        <f>SUM(J334)</f>
        <v>677</v>
      </c>
      <c r="K333" s="727"/>
      <c r="L333" s="728">
        <f>SUM(I333:K333)</f>
        <v>87688</v>
      </c>
      <c r="M333" s="730">
        <f>SUM(H333+L333)</f>
        <v>1321370</v>
      </c>
      <c r="N333" s="730"/>
      <c r="O333" s="730">
        <f>SUM(M333+N333)</f>
        <v>1321370</v>
      </c>
    </row>
    <row r="334" spans="1:15" s="740" customFormat="1" x14ac:dyDescent="0.25">
      <c r="A334" s="798"/>
      <c r="B334" s="732" t="s">
        <v>386</v>
      </c>
      <c r="C334" s="799">
        <v>540233</v>
      </c>
      <c r="D334" s="800">
        <v>97583</v>
      </c>
      <c r="E334" s="801">
        <v>548866</v>
      </c>
      <c r="F334" s="783"/>
      <c r="G334" s="800">
        <v>47000</v>
      </c>
      <c r="H334" s="736">
        <f>SUM(C334:G334)</f>
        <v>1233682</v>
      </c>
      <c r="I334" s="746">
        <v>87011</v>
      </c>
      <c r="J334" s="735">
        <v>677</v>
      </c>
      <c r="K334" s="735"/>
      <c r="L334" s="736">
        <f>SUM(I334:K334)</f>
        <v>87688</v>
      </c>
      <c r="M334" s="739">
        <f>SUM(H334+L334)</f>
        <v>1321370</v>
      </c>
      <c r="N334" s="739"/>
      <c r="O334" s="739">
        <f>SUM(M334+N334)</f>
        <v>1321370</v>
      </c>
    </row>
    <row r="335" spans="1:15" s="740" customFormat="1" x14ac:dyDescent="0.25">
      <c r="A335" s="775"/>
      <c r="B335" s="732" t="s">
        <v>132</v>
      </c>
      <c r="C335" s="733"/>
      <c r="D335" s="734"/>
      <c r="E335" s="734"/>
      <c r="F335" s="735"/>
      <c r="G335" s="792"/>
      <c r="H335" s="736"/>
      <c r="I335" s="746"/>
      <c r="J335" s="735"/>
      <c r="K335" s="792"/>
      <c r="L335" s="736"/>
      <c r="M335" s="739"/>
      <c r="N335" s="739"/>
      <c r="O335" s="739"/>
    </row>
    <row r="336" spans="1:15" s="740" customFormat="1" ht="31.5" x14ac:dyDescent="0.25">
      <c r="A336" s="775"/>
      <c r="B336" s="679" t="s">
        <v>1214</v>
      </c>
      <c r="C336" s="762">
        <v>-20</v>
      </c>
      <c r="D336" s="763">
        <v>-3</v>
      </c>
      <c r="E336" s="763"/>
      <c r="F336" s="764"/>
      <c r="G336" s="797"/>
      <c r="H336" s="749">
        <f t="shared" ref="H336:H339" si="219">SUM(C336:G336)</f>
        <v>-23</v>
      </c>
      <c r="I336" s="767"/>
      <c r="J336" s="764"/>
      <c r="K336" s="797"/>
      <c r="L336" s="749">
        <f t="shared" ref="L336:L339" si="220">SUM(I336:K336)</f>
        <v>0</v>
      </c>
      <c r="M336" s="750">
        <f t="shared" ref="M336:M339" si="221">SUM(H336+L336)</f>
        <v>-23</v>
      </c>
      <c r="N336" s="750"/>
      <c r="O336" s="750">
        <f t="shared" ref="O336:O339" si="222">SUM(M336+N336)</f>
        <v>-23</v>
      </c>
    </row>
    <row r="337" spans="1:15" s="740" customFormat="1" ht="47.25" x14ac:dyDescent="0.25">
      <c r="A337" s="775"/>
      <c r="B337" s="679" t="s">
        <v>1221</v>
      </c>
      <c r="C337" s="762"/>
      <c r="D337" s="763"/>
      <c r="E337" s="763">
        <v>3000</v>
      </c>
      <c r="F337" s="764"/>
      <c r="G337" s="797"/>
      <c r="H337" s="749">
        <f t="shared" si="219"/>
        <v>3000</v>
      </c>
      <c r="I337" s="767"/>
      <c r="J337" s="764"/>
      <c r="K337" s="797"/>
      <c r="L337" s="749">
        <f t="shared" si="220"/>
        <v>0</v>
      </c>
      <c r="M337" s="750">
        <f t="shared" si="221"/>
        <v>3000</v>
      </c>
      <c r="N337" s="750"/>
      <c r="O337" s="750">
        <f t="shared" si="222"/>
        <v>3000</v>
      </c>
    </row>
    <row r="338" spans="1:15" s="740" customFormat="1" ht="47.25" x14ac:dyDescent="0.25">
      <c r="A338" s="775"/>
      <c r="B338" s="679" t="s">
        <v>1221</v>
      </c>
      <c r="C338" s="762"/>
      <c r="D338" s="763"/>
      <c r="E338" s="763">
        <v>1025</v>
      </c>
      <c r="F338" s="764"/>
      <c r="G338" s="797"/>
      <c r="H338" s="749">
        <f t="shared" si="219"/>
        <v>1025</v>
      </c>
      <c r="I338" s="767"/>
      <c r="J338" s="764"/>
      <c r="K338" s="797"/>
      <c r="L338" s="749">
        <f t="shared" si="220"/>
        <v>0</v>
      </c>
      <c r="M338" s="750">
        <f t="shared" si="221"/>
        <v>1025</v>
      </c>
      <c r="N338" s="750"/>
      <c r="O338" s="750">
        <f t="shared" si="222"/>
        <v>1025</v>
      </c>
    </row>
    <row r="339" spans="1:15" s="740" customFormat="1" ht="32.25" thickBot="1" x14ac:dyDescent="0.3">
      <c r="A339" s="775"/>
      <c r="B339" s="679" t="s">
        <v>915</v>
      </c>
      <c r="C339" s="762"/>
      <c r="D339" s="763"/>
      <c r="E339" s="763">
        <v>387</v>
      </c>
      <c r="F339" s="764"/>
      <c r="G339" s="797"/>
      <c r="H339" s="749">
        <f t="shared" si="219"/>
        <v>387</v>
      </c>
      <c r="I339" s="767"/>
      <c r="J339" s="764"/>
      <c r="K339" s="797"/>
      <c r="L339" s="749">
        <f t="shared" si="220"/>
        <v>0</v>
      </c>
      <c r="M339" s="750">
        <f t="shared" si="221"/>
        <v>387</v>
      </c>
      <c r="N339" s="750"/>
      <c r="O339" s="750">
        <f t="shared" si="222"/>
        <v>387</v>
      </c>
    </row>
    <row r="340" spans="1:15" ht="17.25" thickTop="1" thickBot="1" x14ac:dyDescent="0.3">
      <c r="A340" s="743"/>
      <c r="B340" s="744" t="s">
        <v>379</v>
      </c>
      <c r="C340" s="745">
        <f>+C333+C336+C337+C338+C339</f>
        <v>540213</v>
      </c>
      <c r="D340" s="745">
        <f t="shared" ref="D340:O340" si="223">+D333+D336+D337+D338+D339</f>
        <v>97580</v>
      </c>
      <c r="E340" s="745">
        <f t="shared" si="223"/>
        <v>553278</v>
      </c>
      <c r="F340" s="745">
        <f t="shared" si="223"/>
        <v>0</v>
      </c>
      <c r="G340" s="745">
        <f t="shared" si="223"/>
        <v>47000</v>
      </c>
      <c r="H340" s="745">
        <f t="shared" si="223"/>
        <v>1238071</v>
      </c>
      <c r="I340" s="745">
        <f t="shared" si="223"/>
        <v>87011</v>
      </c>
      <c r="J340" s="745">
        <f t="shared" si="223"/>
        <v>677</v>
      </c>
      <c r="K340" s="745">
        <f t="shared" si="223"/>
        <v>0</v>
      </c>
      <c r="L340" s="745">
        <f t="shared" si="223"/>
        <v>87688</v>
      </c>
      <c r="M340" s="745">
        <f t="shared" si="223"/>
        <v>1325759</v>
      </c>
      <c r="N340" s="745">
        <f t="shared" si="223"/>
        <v>0</v>
      </c>
      <c r="O340" s="745">
        <f t="shared" si="223"/>
        <v>1325759</v>
      </c>
    </row>
    <row r="341" spans="1:15" ht="17.25" thickTop="1" thickBot="1" x14ac:dyDescent="0.3">
      <c r="A341" s="743"/>
      <c r="B341" s="744" t="s">
        <v>385</v>
      </c>
      <c r="C341" s="745">
        <f>+C334+C336+C337+C338+C339</f>
        <v>540213</v>
      </c>
      <c r="D341" s="745">
        <f t="shared" ref="D341:O341" si="224">+D334+D336+D337+D338+D339</f>
        <v>97580</v>
      </c>
      <c r="E341" s="745">
        <f t="shared" si="224"/>
        <v>553278</v>
      </c>
      <c r="F341" s="745">
        <f t="shared" si="224"/>
        <v>0</v>
      </c>
      <c r="G341" s="745">
        <f t="shared" si="224"/>
        <v>47000</v>
      </c>
      <c r="H341" s="745">
        <f t="shared" si="224"/>
        <v>1238071</v>
      </c>
      <c r="I341" s="745">
        <f t="shared" si="224"/>
        <v>87011</v>
      </c>
      <c r="J341" s="745">
        <f t="shared" si="224"/>
        <v>677</v>
      </c>
      <c r="K341" s="745">
        <f t="shared" si="224"/>
        <v>0</v>
      </c>
      <c r="L341" s="745">
        <f t="shared" si="224"/>
        <v>87688</v>
      </c>
      <c r="M341" s="745">
        <f t="shared" si="224"/>
        <v>1325759</v>
      </c>
      <c r="N341" s="745">
        <f t="shared" si="224"/>
        <v>0</v>
      </c>
      <c r="O341" s="745">
        <f t="shared" si="224"/>
        <v>1325759</v>
      </c>
    </row>
    <row r="342" spans="1:15" ht="16.5" thickTop="1" x14ac:dyDescent="0.25">
      <c r="A342" s="723" t="s">
        <v>21</v>
      </c>
      <c r="B342" s="751" t="s">
        <v>563</v>
      </c>
      <c r="C342" s="752"/>
      <c r="D342" s="753"/>
      <c r="E342" s="726"/>
      <c r="F342" s="755"/>
      <c r="G342" s="753"/>
      <c r="H342" s="728"/>
      <c r="I342" s="754"/>
      <c r="J342" s="755"/>
      <c r="K342" s="755"/>
      <c r="L342" s="728"/>
      <c r="M342" s="756"/>
      <c r="N342" s="756"/>
      <c r="O342" s="756"/>
    </row>
    <row r="343" spans="1:15" s="740" customFormat="1" x14ac:dyDescent="0.25">
      <c r="A343" s="775"/>
      <c r="B343" s="803" t="s">
        <v>347</v>
      </c>
      <c r="C343" s="762">
        <f>SUM(C344)</f>
        <v>110698</v>
      </c>
      <c r="D343" s="762">
        <f>SUM(D344)</f>
        <v>17601</v>
      </c>
      <c r="E343" s="762">
        <f>SUM(E344)</f>
        <v>164531</v>
      </c>
      <c r="F343" s="764"/>
      <c r="G343" s="797"/>
      <c r="H343" s="749">
        <f>SUM(C343:G343)</f>
        <v>292830</v>
      </c>
      <c r="I343" s="767">
        <f>SUM(I344)</f>
        <v>2502</v>
      </c>
      <c r="J343" s="764"/>
      <c r="K343" s="797"/>
      <c r="L343" s="749">
        <f>SUM(I343:K343)</f>
        <v>2502</v>
      </c>
      <c r="M343" s="750">
        <f>SUM(H343+L343)</f>
        <v>295332</v>
      </c>
      <c r="N343" s="750"/>
      <c r="O343" s="750">
        <f>SUM(M343+N343)</f>
        <v>295332</v>
      </c>
    </row>
    <row r="344" spans="1:15" s="740" customFormat="1" x14ac:dyDescent="0.25">
      <c r="A344" s="798"/>
      <c r="B344" s="732" t="s">
        <v>661</v>
      </c>
      <c r="C344" s="799">
        <v>110698</v>
      </c>
      <c r="D344" s="800">
        <v>17601</v>
      </c>
      <c r="E344" s="801">
        <v>164531</v>
      </c>
      <c r="F344" s="783"/>
      <c r="G344" s="800"/>
      <c r="H344" s="736">
        <f>SUM(C344:G344)</f>
        <v>292830</v>
      </c>
      <c r="I344" s="746">
        <v>2502</v>
      </c>
      <c r="J344" s="735"/>
      <c r="K344" s="735"/>
      <c r="L344" s="749">
        <f>SUM(I344:K344)</f>
        <v>2502</v>
      </c>
      <c r="M344" s="739">
        <f>SUM(H344+L344)</f>
        <v>295332</v>
      </c>
      <c r="N344" s="739"/>
      <c r="O344" s="739">
        <f>SUM(M344+N344)</f>
        <v>295332</v>
      </c>
    </row>
    <row r="345" spans="1:15" s="740" customFormat="1" x14ac:dyDescent="0.25">
      <c r="A345" s="775"/>
      <c r="B345" s="748" t="s">
        <v>132</v>
      </c>
      <c r="C345" s="733"/>
      <c r="D345" s="734"/>
      <c r="E345" s="734"/>
      <c r="F345" s="735"/>
      <c r="G345" s="792"/>
      <c r="H345" s="736"/>
      <c r="I345" s="746"/>
      <c r="J345" s="735"/>
      <c r="K345" s="792"/>
      <c r="L345" s="749"/>
      <c r="M345" s="736"/>
      <c r="N345" s="736"/>
      <c r="O345" s="736"/>
    </row>
    <row r="346" spans="1:15" s="740" customFormat="1" ht="47.25" x14ac:dyDescent="0.25">
      <c r="A346" s="775"/>
      <c r="B346" s="679" t="s">
        <v>1221</v>
      </c>
      <c r="C346" s="762">
        <v>208</v>
      </c>
      <c r="D346" s="763">
        <v>32</v>
      </c>
      <c r="E346" s="763">
        <v>560</v>
      </c>
      <c r="F346" s="764"/>
      <c r="G346" s="797"/>
      <c r="H346" s="749">
        <f t="shared" ref="H346:H348" si="225">SUM(C346:G346)</f>
        <v>800</v>
      </c>
      <c r="I346" s="767"/>
      <c r="J346" s="764"/>
      <c r="K346" s="797"/>
      <c r="L346" s="749">
        <f t="shared" ref="L346:L348" si="226">SUM(I346:K346)</f>
        <v>0</v>
      </c>
      <c r="M346" s="749">
        <f t="shared" ref="M346:M348" si="227">SUM(H346+L346)</f>
        <v>800</v>
      </c>
      <c r="N346" s="749"/>
      <c r="O346" s="749">
        <f t="shared" ref="O346:O348" si="228">SUM(M346+N346)</f>
        <v>800</v>
      </c>
    </row>
    <row r="347" spans="1:15" s="740" customFormat="1" ht="31.5" x14ac:dyDescent="0.25">
      <c r="A347" s="775"/>
      <c r="B347" s="679" t="s">
        <v>564</v>
      </c>
      <c r="C347" s="762"/>
      <c r="D347" s="763"/>
      <c r="E347" s="763">
        <v>-3402</v>
      </c>
      <c r="F347" s="764"/>
      <c r="G347" s="797"/>
      <c r="H347" s="749">
        <f t="shared" si="225"/>
        <v>-3402</v>
      </c>
      <c r="I347" s="767">
        <v>3402</v>
      </c>
      <c r="J347" s="764"/>
      <c r="K347" s="797"/>
      <c r="L347" s="749">
        <f t="shared" si="226"/>
        <v>3402</v>
      </c>
      <c r="M347" s="750">
        <f t="shared" si="227"/>
        <v>0</v>
      </c>
      <c r="N347" s="750"/>
      <c r="O347" s="750">
        <f t="shared" si="228"/>
        <v>0</v>
      </c>
    </row>
    <row r="348" spans="1:15" s="740" customFormat="1" ht="32.25" thickBot="1" x14ac:dyDescent="0.3">
      <c r="A348" s="775"/>
      <c r="B348" s="679" t="s">
        <v>915</v>
      </c>
      <c r="C348" s="762"/>
      <c r="D348" s="763"/>
      <c r="E348" s="763">
        <v>12225</v>
      </c>
      <c r="F348" s="764"/>
      <c r="G348" s="797"/>
      <c r="H348" s="749">
        <f t="shared" si="225"/>
        <v>12225</v>
      </c>
      <c r="I348" s="767"/>
      <c r="J348" s="764"/>
      <c r="K348" s="797"/>
      <c r="L348" s="749">
        <f t="shared" si="226"/>
        <v>0</v>
      </c>
      <c r="M348" s="750">
        <f t="shared" si="227"/>
        <v>12225</v>
      </c>
      <c r="N348" s="750"/>
      <c r="O348" s="750">
        <f t="shared" si="228"/>
        <v>12225</v>
      </c>
    </row>
    <row r="349" spans="1:15" ht="17.25" thickTop="1" thickBot="1" x14ac:dyDescent="0.3">
      <c r="A349" s="743"/>
      <c r="B349" s="744" t="s">
        <v>379</v>
      </c>
      <c r="C349" s="745">
        <f>+C343+C346+C347+C348</f>
        <v>110906</v>
      </c>
      <c r="D349" s="745">
        <f t="shared" ref="D349:O349" si="229">+D343+D346+D347+D348</f>
        <v>17633</v>
      </c>
      <c r="E349" s="745">
        <f t="shared" si="229"/>
        <v>173914</v>
      </c>
      <c r="F349" s="745">
        <f t="shared" si="229"/>
        <v>0</v>
      </c>
      <c r="G349" s="745">
        <f t="shared" si="229"/>
        <v>0</v>
      </c>
      <c r="H349" s="745">
        <f t="shared" si="229"/>
        <v>302453</v>
      </c>
      <c r="I349" s="745">
        <f t="shared" si="229"/>
        <v>5904</v>
      </c>
      <c r="J349" s="745">
        <f t="shared" si="229"/>
        <v>0</v>
      </c>
      <c r="K349" s="745">
        <f t="shared" si="229"/>
        <v>0</v>
      </c>
      <c r="L349" s="745">
        <f t="shared" si="229"/>
        <v>5904</v>
      </c>
      <c r="M349" s="745">
        <f t="shared" si="229"/>
        <v>308357</v>
      </c>
      <c r="N349" s="745">
        <f t="shared" si="229"/>
        <v>0</v>
      </c>
      <c r="O349" s="745">
        <f t="shared" si="229"/>
        <v>308357</v>
      </c>
    </row>
    <row r="350" spans="1:15" ht="17.25" thickTop="1" thickBot="1" x14ac:dyDescent="0.3">
      <c r="A350" s="743"/>
      <c r="B350" s="744" t="s">
        <v>385</v>
      </c>
      <c r="C350" s="745">
        <f>+C344+C346+C347+C348</f>
        <v>110906</v>
      </c>
      <c r="D350" s="745">
        <f t="shared" ref="D350:O350" si="230">+D344+D346+D347+D348</f>
        <v>17633</v>
      </c>
      <c r="E350" s="745">
        <f t="shared" si="230"/>
        <v>173914</v>
      </c>
      <c r="F350" s="745">
        <f t="shared" si="230"/>
        <v>0</v>
      </c>
      <c r="G350" s="745">
        <f t="shared" si="230"/>
        <v>0</v>
      </c>
      <c r="H350" s="745">
        <f t="shared" si="230"/>
        <v>302453</v>
      </c>
      <c r="I350" s="745">
        <f t="shared" si="230"/>
        <v>5904</v>
      </c>
      <c r="J350" s="745">
        <f t="shared" si="230"/>
        <v>0</v>
      </c>
      <c r="K350" s="745">
        <f t="shared" si="230"/>
        <v>0</v>
      </c>
      <c r="L350" s="745">
        <f t="shared" si="230"/>
        <v>5904</v>
      </c>
      <c r="M350" s="745">
        <f t="shared" si="230"/>
        <v>308357</v>
      </c>
      <c r="N350" s="745">
        <f t="shared" si="230"/>
        <v>0</v>
      </c>
      <c r="O350" s="745">
        <f t="shared" si="230"/>
        <v>308357</v>
      </c>
    </row>
    <row r="351" spans="1:15" ht="32.25" thickTop="1" x14ac:dyDescent="0.25">
      <c r="A351" s="723" t="s">
        <v>561</v>
      </c>
      <c r="B351" s="751" t="s">
        <v>786</v>
      </c>
      <c r="C351" s="752"/>
      <c r="D351" s="726"/>
      <c r="E351" s="726"/>
      <c r="F351" s="727"/>
      <c r="G351" s="753"/>
      <c r="H351" s="728"/>
      <c r="I351" s="754"/>
      <c r="J351" s="755"/>
      <c r="K351" s="755"/>
      <c r="L351" s="728"/>
      <c r="M351" s="756"/>
      <c r="N351" s="756"/>
      <c r="O351" s="756"/>
    </row>
    <row r="352" spans="1:15" x14ac:dyDescent="0.25">
      <c r="A352" s="723"/>
      <c r="B352" s="679" t="s">
        <v>347</v>
      </c>
      <c r="C352" s="752">
        <f>SUM(C353:C354)</f>
        <v>104361</v>
      </c>
      <c r="D352" s="752">
        <f>SUM(D353:D354)</f>
        <v>18199</v>
      </c>
      <c r="E352" s="752">
        <f>SUM(E353:E354)</f>
        <v>75590</v>
      </c>
      <c r="F352" s="727"/>
      <c r="G352" s="753"/>
      <c r="H352" s="728">
        <f>SUM(C352:G352)</f>
        <v>198150</v>
      </c>
      <c r="I352" s="729">
        <f>SUM(I353:I354)</f>
        <v>103</v>
      </c>
      <c r="J352" s="727"/>
      <c r="K352" s="727"/>
      <c r="L352" s="728">
        <f>SUM(I352:K352)</f>
        <v>103</v>
      </c>
      <c r="M352" s="730">
        <f>SUM(H352+L352)</f>
        <v>198253</v>
      </c>
      <c r="N352" s="730"/>
      <c r="O352" s="730">
        <f>SUM(M352+N352)</f>
        <v>198253</v>
      </c>
    </row>
    <row r="353" spans="1:16" s="740" customFormat="1" x14ac:dyDescent="0.25">
      <c r="A353" s="731"/>
      <c r="B353" s="732" t="s">
        <v>381</v>
      </c>
      <c r="C353" s="757">
        <v>102409</v>
      </c>
      <c r="D353" s="734">
        <v>17688</v>
      </c>
      <c r="E353" s="734">
        <v>73693</v>
      </c>
      <c r="F353" s="735"/>
      <c r="G353" s="758"/>
      <c r="H353" s="736">
        <f>SUM(C353:G353)</f>
        <v>193790</v>
      </c>
      <c r="I353" s="746">
        <v>40</v>
      </c>
      <c r="J353" s="735"/>
      <c r="K353" s="735"/>
      <c r="L353" s="736">
        <f>SUM(I353:K353)</f>
        <v>40</v>
      </c>
      <c r="M353" s="739">
        <f>SUM(H353+L353)</f>
        <v>193830</v>
      </c>
      <c r="N353" s="739"/>
      <c r="O353" s="739">
        <f>SUM(M353+N353)</f>
        <v>193830</v>
      </c>
    </row>
    <row r="354" spans="1:16" s="740" customFormat="1" x14ac:dyDescent="0.25">
      <c r="A354" s="731"/>
      <c r="B354" s="732" t="s">
        <v>380</v>
      </c>
      <c r="C354" s="757">
        <v>1952</v>
      </c>
      <c r="D354" s="734">
        <v>511</v>
      </c>
      <c r="E354" s="734">
        <v>1897</v>
      </c>
      <c r="F354" s="735"/>
      <c r="G354" s="758"/>
      <c r="H354" s="736">
        <f>SUM(C354:G354)</f>
        <v>4360</v>
      </c>
      <c r="I354" s="746">
        <v>63</v>
      </c>
      <c r="J354" s="735"/>
      <c r="K354" s="735"/>
      <c r="L354" s="736">
        <f>SUM(I354:K354)</f>
        <v>63</v>
      </c>
      <c r="M354" s="739">
        <f>SUM(H354+L354)</f>
        <v>4423</v>
      </c>
      <c r="N354" s="739"/>
      <c r="O354" s="739">
        <f>SUM(M354+N354)</f>
        <v>4423</v>
      </c>
    </row>
    <row r="355" spans="1:16" s="740" customFormat="1" x14ac:dyDescent="0.25">
      <c r="A355" s="731"/>
      <c r="B355" s="732" t="s">
        <v>131</v>
      </c>
      <c r="C355" s="757"/>
      <c r="D355" s="734"/>
      <c r="E355" s="734"/>
      <c r="F355" s="735"/>
      <c r="G355" s="758"/>
      <c r="H355" s="736"/>
      <c r="I355" s="746"/>
      <c r="J355" s="735"/>
      <c r="K355" s="735"/>
      <c r="L355" s="736"/>
      <c r="M355" s="739"/>
      <c r="N355" s="739"/>
      <c r="O355" s="739"/>
    </row>
    <row r="356" spans="1:16" s="740" customFormat="1" ht="31.5" x14ac:dyDescent="0.25">
      <c r="A356" s="731"/>
      <c r="B356" s="679" t="s">
        <v>564</v>
      </c>
      <c r="C356" s="787">
        <v>5730</v>
      </c>
      <c r="D356" s="763">
        <v>1634</v>
      </c>
      <c r="E356" s="763">
        <v>-7364</v>
      </c>
      <c r="F356" s="764"/>
      <c r="G356" s="788"/>
      <c r="H356" s="749">
        <f>SUM(C356:G356)</f>
        <v>0</v>
      </c>
      <c r="I356" s="767"/>
      <c r="J356" s="764"/>
      <c r="K356" s="764"/>
      <c r="L356" s="749">
        <f>SUM(I356:K356)</f>
        <v>0</v>
      </c>
      <c r="M356" s="750">
        <f>SUM(H356+L356)</f>
        <v>0</v>
      </c>
      <c r="N356" s="750"/>
      <c r="O356" s="750">
        <f>SUM(M356+N356)</f>
        <v>0</v>
      </c>
    </row>
    <row r="357" spans="1:16" s="740" customFormat="1" x14ac:dyDescent="0.25">
      <c r="A357" s="731"/>
      <c r="B357" s="732" t="s">
        <v>132</v>
      </c>
      <c r="C357" s="787"/>
      <c r="D357" s="763"/>
      <c r="E357" s="763"/>
      <c r="F357" s="764"/>
      <c r="G357" s="788"/>
      <c r="H357" s="749"/>
      <c r="I357" s="767"/>
      <c r="J357" s="764"/>
      <c r="K357" s="764"/>
      <c r="L357" s="749"/>
      <c r="M357" s="750"/>
      <c r="N357" s="750"/>
      <c r="O357" s="750"/>
    </row>
    <row r="358" spans="1:16" s="740" customFormat="1" ht="47.25" x14ac:dyDescent="0.25">
      <c r="A358" s="775"/>
      <c r="B358" s="724" t="s">
        <v>1222</v>
      </c>
      <c r="C358" s="762"/>
      <c r="D358" s="763"/>
      <c r="E358" s="763">
        <v>-200</v>
      </c>
      <c r="F358" s="764"/>
      <c r="G358" s="763"/>
      <c r="H358" s="749">
        <f>SUM(C358:G358)</f>
        <v>-200</v>
      </c>
      <c r="I358" s="767"/>
      <c r="J358" s="764"/>
      <c r="K358" s="764"/>
      <c r="L358" s="749">
        <f>SUM(I358:K358)</f>
        <v>0</v>
      </c>
      <c r="M358" s="749">
        <f>SUM(H358+L358)</f>
        <v>-200</v>
      </c>
      <c r="N358" s="749"/>
      <c r="O358" s="749">
        <f>SUM(M358+N358)</f>
        <v>-200</v>
      </c>
    </row>
    <row r="359" spans="1:16" s="808" customFormat="1" ht="65.25" customHeight="1" x14ac:dyDescent="0.25">
      <c r="A359" s="941"/>
      <c r="B359" s="724" t="s">
        <v>1223</v>
      </c>
      <c r="C359" s="942"/>
      <c r="D359" s="804"/>
      <c r="E359" s="804">
        <v>-250</v>
      </c>
      <c r="F359" s="805"/>
      <c r="G359" s="804"/>
      <c r="H359" s="806">
        <f>SUM(C359:G359)</f>
        <v>-250</v>
      </c>
      <c r="I359" s="807"/>
      <c r="J359" s="805"/>
      <c r="K359" s="805"/>
      <c r="L359" s="806">
        <f>SUM(I359:K359)</f>
        <v>0</v>
      </c>
      <c r="M359" s="806">
        <f>SUM(H359+L359)</f>
        <v>-250</v>
      </c>
      <c r="N359" s="806"/>
      <c r="O359" s="806">
        <f>SUM(M359+N359)</f>
        <v>-250</v>
      </c>
    </row>
    <row r="360" spans="1:16" s="740" customFormat="1" ht="78.75" x14ac:dyDescent="0.25">
      <c r="A360" s="775"/>
      <c r="B360" s="724" t="s">
        <v>1224</v>
      </c>
      <c r="C360" s="762"/>
      <c r="D360" s="763"/>
      <c r="E360" s="763">
        <v>100</v>
      </c>
      <c r="F360" s="764"/>
      <c r="G360" s="763"/>
      <c r="H360" s="749">
        <f>SUM(C360:G360)</f>
        <v>100</v>
      </c>
      <c r="I360" s="767"/>
      <c r="J360" s="764"/>
      <c r="K360" s="764"/>
      <c r="L360" s="749">
        <f>SUM(I360:K360)</f>
        <v>0</v>
      </c>
      <c r="M360" s="749">
        <f>SUM(H360+L360)</f>
        <v>100</v>
      </c>
      <c r="N360" s="749"/>
      <c r="O360" s="749">
        <f>SUM(M360+N360)</f>
        <v>100</v>
      </c>
    </row>
    <row r="361" spans="1:16" s="740" customFormat="1" ht="48" thickBot="1" x14ac:dyDescent="0.3">
      <c r="A361" s="775"/>
      <c r="B361" s="724" t="s">
        <v>1221</v>
      </c>
      <c r="C361" s="762"/>
      <c r="D361" s="763"/>
      <c r="E361" s="763">
        <v>1000</v>
      </c>
      <c r="F361" s="764"/>
      <c r="G361" s="763"/>
      <c r="H361" s="749">
        <f>SUM(C361:G361)</f>
        <v>1000</v>
      </c>
      <c r="I361" s="767"/>
      <c r="J361" s="764"/>
      <c r="K361" s="764"/>
      <c r="L361" s="749">
        <f>SUM(I361:K361)</f>
        <v>0</v>
      </c>
      <c r="M361" s="749">
        <f>SUM(H361+L361)</f>
        <v>1000</v>
      </c>
      <c r="N361" s="749"/>
      <c r="O361" s="749">
        <f>SUM(M361+N361)</f>
        <v>1000</v>
      </c>
    </row>
    <row r="362" spans="1:16" ht="17.25" thickTop="1" thickBot="1" x14ac:dyDescent="0.3">
      <c r="A362" s="743"/>
      <c r="B362" s="744" t="s">
        <v>379</v>
      </c>
      <c r="C362" s="745">
        <f>+C352+C356+C358+C360+C359+C361</f>
        <v>110091</v>
      </c>
      <c r="D362" s="745">
        <f t="shared" ref="D362:O362" si="231">+D352+D356+D358+D360+D359+D361</f>
        <v>19833</v>
      </c>
      <c r="E362" s="745">
        <f t="shared" si="231"/>
        <v>68876</v>
      </c>
      <c r="F362" s="745">
        <f t="shared" si="231"/>
        <v>0</v>
      </c>
      <c r="G362" s="745">
        <f t="shared" si="231"/>
        <v>0</v>
      </c>
      <c r="H362" s="745">
        <f t="shared" si="231"/>
        <v>198800</v>
      </c>
      <c r="I362" s="745">
        <f t="shared" si="231"/>
        <v>103</v>
      </c>
      <c r="J362" s="745">
        <f t="shared" si="231"/>
        <v>0</v>
      </c>
      <c r="K362" s="745">
        <f t="shared" si="231"/>
        <v>0</v>
      </c>
      <c r="L362" s="745">
        <f t="shared" si="231"/>
        <v>103</v>
      </c>
      <c r="M362" s="745">
        <f t="shared" si="231"/>
        <v>198903</v>
      </c>
      <c r="N362" s="745">
        <f t="shared" si="231"/>
        <v>0</v>
      </c>
      <c r="O362" s="745">
        <f t="shared" si="231"/>
        <v>198903</v>
      </c>
      <c r="P362" s="650">
        <f>O363+O364</f>
        <v>198903</v>
      </c>
    </row>
    <row r="363" spans="1:16" ht="17.25" thickTop="1" thickBot="1" x14ac:dyDescent="0.3">
      <c r="A363" s="743"/>
      <c r="B363" s="744" t="s">
        <v>378</v>
      </c>
      <c r="C363" s="745">
        <f>+C353+C356</f>
        <v>108139</v>
      </c>
      <c r="D363" s="745">
        <f t="shared" ref="D363:O363" si="232">+D353+D356</f>
        <v>19322</v>
      </c>
      <c r="E363" s="745">
        <f t="shared" si="232"/>
        <v>66329</v>
      </c>
      <c r="F363" s="745">
        <f t="shared" si="232"/>
        <v>0</v>
      </c>
      <c r="G363" s="745">
        <f t="shared" si="232"/>
        <v>0</v>
      </c>
      <c r="H363" s="745">
        <f t="shared" si="232"/>
        <v>193790</v>
      </c>
      <c r="I363" s="745">
        <f t="shared" si="232"/>
        <v>40</v>
      </c>
      <c r="J363" s="745">
        <f t="shared" si="232"/>
        <v>0</v>
      </c>
      <c r="K363" s="745">
        <f t="shared" si="232"/>
        <v>0</v>
      </c>
      <c r="L363" s="745">
        <f t="shared" si="232"/>
        <v>40</v>
      </c>
      <c r="M363" s="745">
        <f t="shared" si="232"/>
        <v>193830</v>
      </c>
      <c r="N363" s="745">
        <f t="shared" si="232"/>
        <v>0</v>
      </c>
      <c r="O363" s="745">
        <f t="shared" si="232"/>
        <v>193830</v>
      </c>
    </row>
    <row r="364" spans="1:16" ht="17.25" thickTop="1" thickBot="1" x14ac:dyDescent="0.3">
      <c r="A364" s="743"/>
      <c r="B364" s="744" t="s">
        <v>377</v>
      </c>
      <c r="C364" s="745">
        <f t="shared" ref="C364:O364" si="233">+C354+C358+C359+C360+C361</f>
        <v>1952</v>
      </c>
      <c r="D364" s="745">
        <f t="shared" si="233"/>
        <v>511</v>
      </c>
      <c r="E364" s="745">
        <f t="shared" si="233"/>
        <v>2547</v>
      </c>
      <c r="F364" s="745">
        <f t="shared" si="233"/>
        <v>0</v>
      </c>
      <c r="G364" s="745">
        <f t="shared" si="233"/>
        <v>0</v>
      </c>
      <c r="H364" s="745">
        <f t="shared" si="233"/>
        <v>5010</v>
      </c>
      <c r="I364" s="745">
        <f t="shared" si="233"/>
        <v>63</v>
      </c>
      <c r="J364" s="745">
        <f t="shared" si="233"/>
        <v>0</v>
      </c>
      <c r="K364" s="745">
        <f t="shared" si="233"/>
        <v>0</v>
      </c>
      <c r="L364" s="745">
        <f t="shared" si="233"/>
        <v>63</v>
      </c>
      <c r="M364" s="745">
        <f t="shared" si="233"/>
        <v>5073</v>
      </c>
      <c r="N364" s="745">
        <f t="shared" si="233"/>
        <v>0</v>
      </c>
      <c r="O364" s="745">
        <f t="shared" si="233"/>
        <v>5073</v>
      </c>
    </row>
    <row r="365" spans="1:16" ht="17.25" thickTop="1" thickBot="1" x14ac:dyDescent="0.3">
      <c r="A365" s="743"/>
      <c r="B365" s="744" t="s">
        <v>384</v>
      </c>
      <c r="C365" s="791">
        <f t="shared" ref="C365:O365" si="234">SUM(C289+C302+C315+C330+C340+C349+C362+C323)</f>
        <v>1777762</v>
      </c>
      <c r="D365" s="791">
        <f t="shared" si="234"/>
        <v>321980</v>
      </c>
      <c r="E365" s="791">
        <f t="shared" si="234"/>
        <v>1451831</v>
      </c>
      <c r="F365" s="791">
        <f t="shared" si="234"/>
        <v>0</v>
      </c>
      <c r="G365" s="791">
        <f t="shared" si="234"/>
        <v>81521</v>
      </c>
      <c r="H365" s="791">
        <f t="shared" si="234"/>
        <v>3633094</v>
      </c>
      <c r="I365" s="791">
        <f t="shared" si="234"/>
        <v>187300</v>
      </c>
      <c r="J365" s="791">
        <f t="shared" si="234"/>
        <v>2529</v>
      </c>
      <c r="K365" s="791">
        <f t="shared" si="234"/>
        <v>0</v>
      </c>
      <c r="L365" s="791">
        <f t="shared" si="234"/>
        <v>189829</v>
      </c>
      <c r="M365" s="791">
        <f t="shared" si="234"/>
        <v>3822923</v>
      </c>
      <c r="N365" s="791">
        <f t="shared" si="234"/>
        <v>0</v>
      </c>
      <c r="O365" s="791">
        <f t="shared" si="234"/>
        <v>3822923</v>
      </c>
    </row>
    <row r="366" spans="1:16" ht="17.25" thickTop="1" thickBot="1" x14ac:dyDescent="0.3">
      <c r="A366" s="743"/>
      <c r="B366" s="744" t="s">
        <v>383</v>
      </c>
      <c r="C366" s="791">
        <f t="shared" ref="C366:O366" si="235">SUM(C236+C271+C281+C365)</f>
        <v>6742063</v>
      </c>
      <c r="D366" s="791">
        <f t="shared" si="235"/>
        <v>1206372</v>
      </c>
      <c r="E366" s="791">
        <f t="shared" si="235"/>
        <v>4350306</v>
      </c>
      <c r="F366" s="791">
        <f t="shared" si="235"/>
        <v>24218</v>
      </c>
      <c r="G366" s="791">
        <f t="shared" si="235"/>
        <v>81806</v>
      </c>
      <c r="H366" s="791">
        <f t="shared" si="235"/>
        <v>12404765</v>
      </c>
      <c r="I366" s="791">
        <f t="shared" si="235"/>
        <v>242331</v>
      </c>
      <c r="J366" s="791">
        <f t="shared" si="235"/>
        <v>13111</v>
      </c>
      <c r="K366" s="791">
        <f t="shared" si="235"/>
        <v>0</v>
      </c>
      <c r="L366" s="791">
        <f t="shared" si="235"/>
        <v>255442</v>
      </c>
      <c r="M366" s="791">
        <f t="shared" si="235"/>
        <v>12660207</v>
      </c>
      <c r="N366" s="791">
        <f t="shared" si="235"/>
        <v>0</v>
      </c>
      <c r="O366" s="791">
        <f t="shared" si="235"/>
        <v>12660207</v>
      </c>
    </row>
    <row r="367" spans="1:16" ht="16.5" thickTop="1" x14ac:dyDescent="0.25">
      <c r="A367" s="723" t="s">
        <v>562</v>
      </c>
      <c r="B367" s="751" t="s">
        <v>382</v>
      </c>
      <c r="C367" s="752"/>
      <c r="D367" s="726"/>
      <c r="E367" s="726"/>
      <c r="F367" s="727"/>
      <c r="G367" s="753"/>
      <c r="H367" s="728"/>
      <c r="I367" s="754"/>
      <c r="J367" s="755"/>
      <c r="K367" s="755"/>
      <c r="L367" s="728"/>
      <c r="M367" s="756"/>
      <c r="N367" s="756"/>
      <c r="O367" s="756"/>
    </row>
    <row r="368" spans="1:16" x14ac:dyDescent="0.25">
      <c r="A368" s="723"/>
      <c r="B368" s="679" t="s">
        <v>24</v>
      </c>
      <c r="C368" s="752">
        <f>SUM(C369:C371)</f>
        <v>1856678</v>
      </c>
      <c r="D368" s="752">
        <f>SUM(D369:D371)</f>
        <v>343958</v>
      </c>
      <c r="E368" s="752">
        <f>SUM(E369:E371)</f>
        <v>315666</v>
      </c>
      <c r="F368" s="755"/>
      <c r="G368" s="753"/>
      <c r="H368" s="728">
        <f>SUM(C368:G368)</f>
        <v>2516302</v>
      </c>
      <c r="I368" s="729">
        <f>SUM(I369:I371)</f>
        <v>158308</v>
      </c>
      <c r="J368" s="729">
        <f>SUM(J369:J371)</f>
        <v>8851</v>
      </c>
      <c r="K368" s="727"/>
      <c r="L368" s="728">
        <f>SUM(I368:K368)</f>
        <v>167159</v>
      </c>
      <c r="M368" s="730">
        <f>SUM(H368+L368)</f>
        <v>2683461</v>
      </c>
      <c r="N368" s="730"/>
      <c r="O368" s="730">
        <f>SUM(M368+N368)</f>
        <v>2683461</v>
      </c>
    </row>
    <row r="369" spans="1:16" s="740" customFormat="1" x14ac:dyDescent="0.25">
      <c r="A369" s="731"/>
      <c r="B369" s="732" t="s">
        <v>381</v>
      </c>
      <c r="C369" s="757">
        <v>993874</v>
      </c>
      <c r="D369" s="758">
        <v>192579</v>
      </c>
      <c r="E369" s="734">
        <v>165022</v>
      </c>
      <c r="F369" s="786"/>
      <c r="G369" s="758"/>
      <c r="H369" s="736">
        <f>SUM(C369:G369)</f>
        <v>1351475</v>
      </c>
      <c r="I369" s="746">
        <v>98742</v>
      </c>
      <c r="J369" s="735">
        <v>6500</v>
      </c>
      <c r="K369" s="735"/>
      <c r="L369" s="736">
        <f>SUM(I369:K369)</f>
        <v>105242</v>
      </c>
      <c r="M369" s="739">
        <f>SUM(H369+L369)</f>
        <v>1456717</v>
      </c>
      <c r="N369" s="739"/>
      <c r="O369" s="739">
        <f>SUM(M369+N369)</f>
        <v>1456717</v>
      </c>
    </row>
    <row r="370" spans="1:16" s="740" customFormat="1" x14ac:dyDescent="0.25">
      <c r="A370" s="731"/>
      <c r="B370" s="732" t="s">
        <v>380</v>
      </c>
      <c r="C370" s="757">
        <v>179851</v>
      </c>
      <c r="D370" s="758">
        <v>19392</v>
      </c>
      <c r="E370" s="734">
        <v>38171</v>
      </c>
      <c r="F370" s="786"/>
      <c r="G370" s="758"/>
      <c r="H370" s="736">
        <f>SUM(C370:G370)</f>
        <v>237414</v>
      </c>
      <c r="I370" s="746"/>
      <c r="J370" s="735"/>
      <c r="K370" s="735"/>
      <c r="L370" s="736">
        <f>SUM(I370:K370)</f>
        <v>0</v>
      </c>
      <c r="M370" s="739">
        <f>SUM(H370+L370)</f>
        <v>237414</v>
      </c>
      <c r="N370" s="739"/>
      <c r="O370" s="739">
        <f>SUM(M370+N370)</f>
        <v>237414</v>
      </c>
    </row>
    <row r="371" spans="1:16" s="740" customFormat="1" x14ac:dyDescent="0.25">
      <c r="A371" s="731"/>
      <c r="B371" s="732" t="s">
        <v>447</v>
      </c>
      <c r="C371" s="757">
        <v>682953</v>
      </c>
      <c r="D371" s="758">
        <v>131987</v>
      </c>
      <c r="E371" s="734">
        <v>112473</v>
      </c>
      <c r="F371" s="786"/>
      <c r="G371" s="758"/>
      <c r="H371" s="736">
        <f>SUM(C371:G371)</f>
        <v>927413</v>
      </c>
      <c r="I371" s="746">
        <v>59566</v>
      </c>
      <c r="J371" s="735">
        <v>2351</v>
      </c>
      <c r="K371" s="735"/>
      <c r="L371" s="736">
        <f>SUM(I371:K371)</f>
        <v>61917</v>
      </c>
      <c r="M371" s="739">
        <f>SUM(H371+L371)</f>
        <v>989330</v>
      </c>
      <c r="N371" s="739"/>
      <c r="O371" s="739">
        <f>SUM(M371+N371)</f>
        <v>989330</v>
      </c>
    </row>
    <row r="372" spans="1:16" s="740" customFormat="1" x14ac:dyDescent="0.25">
      <c r="A372" s="731"/>
      <c r="B372" s="732" t="s">
        <v>131</v>
      </c>
      <c r="C372" s="757"/>
      <c r="D372" s="758"/>
      <c r="E372" s="734"/>
      <c r="F372" s="786"/>
      <c r="G372" s="758"/>
      <c r="H372" s="736"/>
      <c r="I372" s="746"/>
      <c r="J372" s="735"/>
      <c r="K372" s="735"/>
      <c r="L372" s="736"/>
      <c r="M372" s="739"/>
      <c r="N372" s="739"/>
      <c r="O372" s="739"/>
    </row>
    <row r="373" spans="1:16" s="740" customFormat="1" ht="31.5" x14ac:dyDescent="0.25">
      <c r="A373" s="731"/>
      <c r="B373" s="679" t="s">
        <v>1214</v>
      </c>
      <c r="C373" s="787">
        <v>-11</v>
      </c>
      <c r="D373" s="788">
        <v>-2</v>
      </c>
      <c r="E373" s="763"/>
      <c r="F373" s="789"/>
      <c r="G373" s="788"/>
      <c r="H373" s="749">
        <f t="shared" ref="H373:H378" si="236">SUM(C373:G373)</f>
        <v>-13</v>
      </c>
      <c r="I373" s="767"/>
      <c r="J373" s="764"/>
      <c r="K373" s="764"/>
      <c r="L373" s="749">
        <f t="shared" ref="L373:L378" si="237">SUM(I373:K373)</f>
        <v>0</v>
      </c>
      <c r="M373" s="750">
        <f t="shared" ref="M373:M378" si="238">SUM(H373+L373)</f>
        <v>-13</v>
      </c>
      <c r="N373" s="750"/>
      <c r="O373" s="750">
        <f t="shared" ref="O373:O378" si="239">SUM(M373+N373)</f>
        <v>-13</v>
      </c>
    </row>
    <row r="374" spans="1:16" s="740" customFormat="1" ht="35.25" customHeight="1" x14ac:dyDescent="0.25">
      <c r="A374" s="731"/>
      <c r="B374" s="679" t="s">
        <v>1225</v>
      </c>
      <c r="C374" s="787">
        <v>-13</v>
      </c>
      <c r="D374" s="788"/>
      <c r="E374" s="763">
        <v>13</v>
      </c>
      <c r="F374" s="789"/>
      <c r="G374" s="788"/>
      <c r="H374" s="749">
        <f t="shared" si="236"/>
        <v>0</v>
      </c>
      <c r="I374" s="767"/>
      <c r="J374" s="764"/>
      <c r="K374" s="764"/>
      <c r="L374" s="749">
        <f t="shared" si="237"/>
        <v>0</v>
      </c>
      <c r="M374" s="750">
        <f t="shared" si="238"/>
        <v>0</v>
      </c>
      <c r="N374" s="750"/>
      <c r="O374" s="750">
        <f t="shared" si="239"/>
        <v>0</v>
      </c>
    </row>
    <row r="375" spans="1:16" s="740" customFormat="1" x14ac:dyDescent="0.25">
      <c r="A375" s="731"/>
      <c r="B375" s="679"/>
      <c r="C375" s="787"/>
      <c r="D375" s="788"/>
      <c r="E375" s="763"/>
      <c r="F375" s="789"/>
      <c r="G375" s="788"/>
      <c r="H375" s="749">
        <f t="shared" si="236"/>
        <v>0</v>
      </c>
      <c r="I375" s="767"/>
      <c r="J375" s="764"/>
      <c r="K375" s="764"/>
      <c r="L375" s="749">
        <f t="shared" si="237"/>
        <v>0</v>
      </c>
      <c r="M375" s="750">
        <f t="shared" si="238"/>
        <v>0</v>
      </c>
      <c r="N375" s="750"/>
      <c r="O375" s="750">
        <f t="shared" si="239"/>
        <v>0</v>
      </c>
    </row>
    <row r="376" spans="1:16" s="740" customFormat="1" x14ac:dyDescent="0.25">
      <c r="A376" s="731"/>
      <c r="B376" s="732" t="s">
        <v>132</v>
      </c>
      <c r="C376" s="787"/>
      <c r="D376" s="788"/>
      <c r="E376" s="763"/>
      <c r="F376" s="789"/>
      <c r="G376" s="788"/>
      <c r="H376" s="749">
        <f t="shared" si="236"/>
        <v>0</v>
      </c>
      <c r="I376" s="767"/>
      <c r="J376" s="764"/>
      <c r="K376" s="764"/>
      <c r="L376" s="749">
        <f t="shared" si="237"/>
        <v>0</v>
      </c>
      <c r="M376" s="750">
        <f t="shared" si="238"/>
        <v>0</v>
      </c>
      <c r="N376" s="750"/>
      <c r="O376" s="750">
        <f t="shared" si="239"/>
        <v>0</v>
      </c>
    </row>
    <row r="377" spans="1:16" s="740" customFormat="1" x14ac:dyDescent="0.25">
      <c r="A377" s="731"/>
      <c r="B377" s="679"/>
      <c r="C377" s="787"/>
      <c r="D377" s="788"/>
      <c r="E377" s="763"/>
      <c r="F377" s="789"/>
      <c r="G377" s="788"/>
      <c r="H377" s="749">
        <f t="shared" si="236"/>
        <v>0</v>
      </c>
      <c r="I377" s="767"/>
      <c r="J377" s="764"/>
      <c r="K377" s="764"/>
      <c r="L377" s="749">
        <f t="shared" si="237"/>
        <v>0</v>
      </c>
      <c r="M377" s="750">
        <f t="shared" si="238"/>
        <v>0</v>
      </c>
      <c r="N377" s="750"/>
      <c r="O377" s="750">
        <f t="shared" si="239"/>
        <v>0</v>
      </c>
    </row>
    <row r="378" spans="1:16" s="740" customFormat="1" x14ac:dyDescent="0.25">
      <c r="A378" s="731"/>
      <c r="B378" s="679"/>
      <c r="C378" s="787"/>
      <c r="D378" s="788"/>
      <c r="E378" s="763"/>
      <c r="F378" s="789"/>
      <c r="G378" s="788"/>
      <c r="H378" s="749">
        <f t="shared" si="236"/>
        <v>0</v>
      </c>
      <c r="I378" s="767"/>
      <c r="J378" s="764"/>
      <c r="K378" s="764"/>
      <c r="L378" s="749">
        <f t="shared" si="237"/>
        <v>0</v>
      </c>
      <c r="M378" s="750">
        <f t="shared" si="238"/>
        <v>0</v>
      </c>
      <c r="N378" s="750"/>
      <c r="O378" s="750">
        <f t="shared" si="239"/>
        <v>0</v>
      </c>
    </row>
    <row r="379" spans="1:16" s="740" customFormat="1" x14ac:dyDescent="0.25">
      <c r="A379" s="731"/>
      <c r="B379" s="732" t="s">
        <v>333</v>
      </c>
      <c r="C379" s="787"/>
      <c r="D379" s="788"/>
      <c r="E379" s="763"/>
      <c r="F379" s="789"/>
      <c r="G379" s="788"/>
      <c r="H379" s="749"/>
      <c r="I379" s="767"/>
      <c r="J379" s="764"/>
      <c r="K379" s="764"/>
      <c r="L379" s="749"/>
      <c r="M379" s="750"/>
      <c r="N379" s="750"/>
      <c r="O379" s="750"/>
    </row>
    <row r="380" spans="1:16" s="740" customFormat="1" ht="31.5" customHeight="1" x14ac:dyDescent="0.25">
      <c r="A380" s="731"/>
      <c r="B380" s="679" t="s">
        <v>1225</v>
      </c>
      <c r="C380" s="787">
        <v>-10</v>
      </c>
      <c r="D380" s="788"/>
      <c r="E380" s="763">
        <v>10</v>
      </c>
      <c r="F380" s="789"/>
      <c r="G380" s="788"/>
      <c r="H380" s="749">
        <f>SUM(C380:G380)</f>
        <v>0</v>
      </c>
      <c r="I380" s="767"/>
      <c r="J380" s="764"/>
      <c r="K380" s="764"/>
      <c r="L380" s="749">
        <f>SUM(I380:K380)</f>
        <v>0</v>
      </c>
      <c r="M380" s="750">
        <f>SUM(H380+L380)</f>
        <v>0</v>
      </c>
      <c r="N380" s="750"/>
      <c r="O380" s="750">
        <f>SUM(M380+N380)</f>
        <v>0</v>
      </c>
    </row>
    <row r="381" spans="1:16" s="740" customFormat="1" ht="16.5" thickBot="1" x14ac:dyDescent="0.3">
      <c r="A381" s="731"/>
      <c r="B381" s="679"/>
      <c r="C381" s="787"/>
      <c r="D381" s="788"/>
      <c r="E381" s="763"/>
      <c r="F381" s="789"/>
      <c r="G381" s="788"/>
      <c r="H381" s="749">
        <f>SUM(C381:G381)</f>
        <v>0</v>
      </c>
      <c r="I381" s="767"/>
      <c r="J381" s="764"/>
      <c r="K381" s="764"/>
      <c r="L381" s="749">
        <f>SUM(I381:K381)</f>
        <v>0</v>
      </c>
      <c r="M381" s="750">
        <f>SUM(H381+L381)</f>
        <v>0</v>
      </c>
      <c r="N381" s="750"/>
      <c r="O381" s="750">
        <f>SUM(M381+N381)</f>
        <v>0</v>
      </c>
    </row>
    <row r="382" spans="1:16" s="810" customFormat="1" ht="17.25" thickTop="1" thickBot="1" x14ac:dyDescent="0.3">
      <c r="A382" s="743"/>
      <c r="B382" s="744" t="s">
        <v>379</v>
      </c>
      <c r="C382" s="745">
        <f>+C368+C373+C374+C375+C377+C380+C378+C381</f>
        <v>1856644</v>
      </c>
      <c r="D382" s="745">
        <f t="shared" ref="D382:O382" si="240">+D368+D373+D374+D375+D377+D380+D378+D381</f>
        <v>343956</v>
      </c>
      <c r="E382" s="745">
        <f t="shared" si="240"/>
        <v>315689</v>
      </c>
      <c r="F382" s="745">
        <f t="shared" si="240"/>
        <v>0</v>
      </c>
      <c r="G382" s="745">
        <f t="shared" si="240"/>
        <v>0</v>
      </c>
      <c r="H382" s="745">
        <f t="shared" si="240"/>
        <v>2516289</v>
      </c>
      <c r="I382" s="745">
        <f t="shared" si="240"/>
        <v>158308</v>
      </c>
      <c r="J382" s="745">
        <f t="shared" si="240"/>
        <v>8851</v>
      </c>
      <c r="K382" s="745">
        <f t="shared" si="240"/>
        <v>0</v>
      </c>
      <c r="L382" s="745">
        <f t="shared" si="240"/>
        <v>167159</v>
      </c>
      <c r="M382" s="745">
        <f t="shared" si="240"/>
        <v>2683448</v>
      </c>
      <c r="N382" s="745">
        <f t="shared" si="240"/>
        <v>0</v>
      </c>
      <c r="O382" s="745">
        <f t="shared" si="240"/>
        <v>2683448</v>
      </c>
      <c r="P382" s="809">
        <f>O383+O384+O385</f>
        <v>2683448</v>
      </c>
    </row>
    <row r="383" spans="1:16" ht="17.25" thickTop="1" thickBot="1" x14ac:dyDescent="0.3">
      <c r="A383" s="743"/>
      <c r="B383" s="744" t="s">
        <v>378</v>
      </c>
      <c r="C383" s="745">
        <f>+C369+C373+C374+C375</f>
        <v>993850</v>
      </c>
      <c r="D383" s="745">
        <f t="shared" ref="D383:O383" si="241">+D369+D373+D374+D375</f>
        <v>192577</v>
      </c>
      <c r="E383" s="745">
        <f t="shared" si="241"/>
        <v>165035</v>
      </c>
      <c r="F383" s="745">
        <f t="shared" si="241"/>
        <v>0</v>
      </c>
      <c r="G383" s="745">
        <f t="shared" si="241"/>
        <v>0</v>
      </c>
      <c r="H383" s="745">
        <f t="shared" si="241"/>
        <v>1351462</v>
      </c>
      <c r="I383" s="745">
        <f t="shared" si="241"/>
        <v>98742</v>
      </c>
      <c r="J383" s="745">
        <f t="shared" si="241"/>
        <v>6500</v>
      </c>
      <c r="K383" s="745">
        <f t="shared" si="241"/>
        <v>0</v>
      </c>
      <c r="L383" s="745">
        <f t="shared" si="241"/>
        <v>105242</v>
      </c>
      <c r="M383" s="745">
        <f t="shared" si="241"/>
        <v>1456704</v>
      </c>
      <c r="N383" s="745">
        <f t="shared" si="241"/>
        <v>0</v>
      </c>
      <c r="O383" s="745">
        <f t="shared" si="241"/>
        <v>1456704</v>
      </c>
    </row>
    <row r="384" spans="1:16" ht="17.25" thickTop="1" thickBot="1" x14ac:dyDescent="0.3">
      <c r="A384" s="743"/>
      <c r="B384" s="744" t="s">
        <v>377</v>
      </c>
      <c r="C384" s="745">
        <f>+C370+C377+C378</f>
        <v>179851</v>
      </c>
      <c r="D384" s="745">
        <f t="shared" ref="D384:O384" si="242">+D370+D377+D378</f>
        <v>19392</v>
      </c>
      <c r="E384" s="745">
        <f t="shared" si="242"/>
        <v>38171</v>
      </c>
      <c r="F384" s="745">
        <f t="shared" si="242"/>
        <v>0</v>
      </c>
      <c r="G384" s="745">
        <f t="shared" si="242"/>
        <v>0</v>
      </c>
      <c r="H384" s="745">
        <f t="shared" si="242"/>
        <v>237414</v>
      </c>
      <c r="I384" s="745">
        <f t="shared" si="242"/>
        <v>0</v>
      </c>
      <c r="J384" s="745">
        <f t="shared" si="242"/>
        <v>0</v>
      </c>
      <c r="K384" s="745">
        <f t="shared" si="242"/>
        <v>0</v>
      </c>
      <c r="L384" s="745">
        <f t="shared" si="242"/>
        <v>0</v>
      </c>
      <c r="M384" s="745">
        <f t="shared" si="242"/>
        <v>237414</v>
      </c>
      <c r="N384" s="745">
        <f t="shared" si="242"/>
        <v>0</v>
      </c>
      <c r="O384" s="745">
        <f t="shared" si="242"/>
        <v>237414</v>
      </c>
    </row>
    <row r="385" spans="1:15" ht="33" thickTop="1" thickBot="1" x14ac:dyDescent="0.3">
      <c r="A385" s="743"/>
      <c r="B385" s="744" t="s">
        <v>446</v>
      </c>
      <c r="C385" s="745">
        <f t="shared" ref="C385:O385" si="243">+C371+C380+C381</f>
        <v>682943</v>
      </c>
      <c r="D385" s="745">
        <f t="shared" si="243"/>
        <v>131987</v>
      </c>
      <c r="E385" s="745">
        <f t="shared" si="243"/>
        <v>112483</v>
      </c>
      <c r="F385" s="745">
        <f t="shared" si="243"/>
        <v>0</v>
      </c>
      <c r="G385" s="745">
        <f t="shared" si="243"/>
        <v>0</v>
      </c>
      <c r="H385" s="745">
        <f t="shared" si="243"/>
        <v>927413</v>
      </c>
      <c r="I385" s="745">
        <f t="shared" si="243"/>
        <v>59566</v>
      </c>
      <c r="J385" s="745">
        <f t="shared" si="243"/>
        <v>2351</v>
      </c>
      <c r="K385" s="745">
        <f t="shared" si="243"/>
        <v>0</v>
      </c>
      <c r="L385" s="745">
        <f t="shared" si="243"/>
        <v>61917</v>
      </c>
      <c r="M385" s="745">
        <f t="shared" si="243"/>
        <v>989330</v>
      </c>
      <c r="N385" s="745">
        <f t="shared" si="243"/>
        <v>0</v>
      </c>
      <c r="O385" s="745">
        <f t="shared" si="243"/>
        <v>989330</v>
      </c>
    </row>
    <row r="386" spans="1:15" s="810" customFormat="1" ht="17.25" thickTop="1" thickBot="1" x14ac:dyDescent="0.3">
      <c r="A386" s="743"/>
      <c r="B386" s="744" t="s">
        <v>375</v>
      </c>
      <c r="C386" s="791">
        <f t="shared" ref="C386:O386" si="244">SUM(C366+C382)</f>
        <v>8598707</v>
      </c>
      <c r="D386" s="791">
        <f t="shared" si="244"/>
        <v>1550328</v>
      </c>
      <c r="E386" s="791">
        <f t="shared" si="244"/>
        <v>4665995</v>
      </c>
      <c r="F386" s="791">
        <f t="shared" si="244"/>
        <v>24218</v>
      </c>
      <c r="G386" s="791">
        <f t="shared" si="244"/>
        <v>81806</v>
      </c>
      <c r="H386" s="791">
        <f t="shared" si="244"/>
        <v>14921054</v>
      </c>
      <c r="I386" s="791">
        <f t="shared" si="244"/>
        <v>400639</v>
      </c>
      <c r="J386" s="791">
        <f t="shared" si="244"/>
        <v>21962</v>
      </c>
      <c r="K386" s="791">
        <f t="shared" si="244"/>
        <v>0</v>
      </c>
      <c r="L386" s="791">
        <f t="shared" si="244"/>
        <v>422601</v>
      </c>
      <c r="M386" s="791">
        <f t="shared" si="244"/>
        <v>15343655</v>
      </c>
      <c r="N386" s="791">
        <f t="shared" si="244"/>
        <v>0</v>
      </c>
      <c r="O386" s="791">
        <f t="shared" si="244"/>
        <v>15343655</v>
      </c>
    </row>
    <row r="387" spans="1:15" s="810" customFormat="1" ht="17.25" thickTop="1" thickBot="1" x14ac:dyDescent="0.3">
      <c r="A387" s="743"/>
      <c r="B387" s="744" t="s">
        <v>347</v>
      </c>
      <c r="C387" s="791">
        <f t="shared" ref="C387:O387" si="245">SUM(C7+C18+C31+C41+C53+C64+C78+C88+C101+C112+C125+C138+C149+C161+C171+C182+C193+C204+C215+C226+C238+C248+C259+C273+C285+C292+C306+C326+C333+C343+C352+C368+C319)</f>
        <v>8556688</v>
      </c>
      <c r="D387" s="791">
        <f t="shared" si="245"/>
        <v>1546280</v>
      </c>
      <c r="E387" s="791">
        <f t="shared" si="245"/>
        <v>4532764</v>
      </c>
      <c r="F387" s="791">
        <f t="shared" si="245"/>
        <v>11588</v>
      </c>
      <c r="G387" s="791">
        <f t="shared" si="245"/>
        <v>81805</v>
      </c>
      <c r="H387" s="791">
        <f t="shared" si="245"/>
        <v>14729125</v>
      </c>
      <c r="I387" s="791">
        <f t="shared" si="245"/>
        <v>347159</v>
      </c>
      <c r="J387" s="791">
        <f t="shared" si="245"/>
        <v>11380</v>
      </c>
      <c r="K387" s="791">
        <f t="shared" si="245"/>
        <v>0</v>
      </c>
      <c r="L387" s="791">
        <f t="shared" si="245"/>
        <v>358539</v>
      </c>
      <c r="M387" s="791">
        <f t="shared" si="245"/>
        <v>15087664</v>
      </c>
      <c r="N387" s="791">
        <f t="shared" si="245"/>
        <v>0</v>
      </c>
      <c r="O387" s="791">
        <f t="shared" si="245"/>
        <v>15087664</v>
      </c>
    </row>
    <row r="388" spans="1:15" ht="16.5" thickTop="1" x14ac:dyDescent="0.25">
      <c r="A388" s="768"/>
      <c r="B388" s="811" t="s">
        <v>131</v>
      </c>
      <c r="C388" s="770"/>
      <c r="D388" s="771"/>
      <c r="E388" s="771"/>
      <c r="F388" s="771"/>
      <c r="G388" s="771"/>
      <c r="H388" s="773"/>
      <c r="I388" s="774"/>
      <c r="J388" s="772"/>
      <c r="K388" s="772"/>
      <c r="L388" s="773"/>
      <c r="M388" s="773"/>
      <c r="N388" s="773"/>
      <c r="O388" s="773"/>
    </row>
    <row r="389" spans="1:15" s="654" customFormat="1" ht="31.5" x14ac:dyDescent="0.25">
      <c r="A389" s="812"/>
      <c r="B389" s="813" t="s">
        <v>1214</v>
      </c>
      <c r="C389" s="814">
        <f t="shared" ref="C389:O389" si="246">C11+C22+C68+C277+C373</f>
        <v>-55</v>
      </c>
      <c r="D389" s="814">
        <f t="shared" si="246"/>
        <v>-9</v>
      </c>
      <c r="E389" s="814">
        <f t="shared" si="246"/>
        <v>0</v>
      </c>
      <c r="F389" s="814">
        <f t="shared" si="246"/>
        <v>0</v>
      </c>
      <c r="G389" s="814">
        <f t="shared" si="246"/>
        <v>0</v>
      </c>
      <c r="H389" s="815">
        <f t="shared" si="246"/>
        <v>-64</v>
      </c>
      <c r="I389" s="815">
        <f t="shared" si="246"/>
        <v>0</v>
      </c>
      <c r="J389" s="815">
        <f t="shared" si="246"/>
        <v>0</v>
      </c>
      <c r="K389" s="815">
        <f t="shared" si="246"/>
        <v>0</v>
      </c>
      <c r="L389" s="815">
        <f t="shared" si="246"/>
        <v>0</v>
      </c>
      <c r="M389" s="815">
        <f t="shared" si="246"/>
        <v>-64</v>
      </c>
      <c r="N389" s="815">
        <f t="shared" si="246"/>
        <v>0</v>
      </c>
      <c r="O389" s="815">
        <f t="shared" si="246"/>
        <v>-64</v>
      </c>
    </row>
    <row r="390" spans="1:15" s="654" customFormat="1" ht="47.25" x14ac:dyDescent="0.25">
      <c r="A390" s="812"/>
      <c r="B390" s="813" t="s">
        <v>1215</v>
      </c>
      <c r="C390" s="814">
        <f t="shared" ref="C390:O390" si="247">C45+C92+C116+C129+C153+C175+C296+C263</f>
        <v>3997</v>
      </c>
      <c r="D390" s="814">
        <f t="shared" si="247"/>
        <v>621</v>
      </c>
      <c r="E390" s="814">
        <f t="shared" si="247"/>
        <v>0</v>
      </c>
      <c r="F390" s="814">
        <f t="shared" si="247"/>
        <v>0</v>
      </c>
      <c r="G390" s="814">
        <f t="shared" si="247"/>
        <v>0</v>
      </c>
      <c r="H390" s="815">
        <f t="shared" si="247"/>
        <v>4618</v>
      </c>
      <c r="I390" s="815">
        <f t="shared" si="247"/>
        <v>0</v>
      </c>
      <c r="J390" s="815">
        <f t="shared" si="247"/>
        <v>0</v>
      </c>
      <c r="K390" s="815">
        <f t="shared" si="247"/>
        <v>0</v>
      </c>
      <c r="L390" s="815">
        <f t="shared" si="247"/>
        <v>0</v>
      </c>
      <c r="M390" s="815">
        <f t="shared" si="247"/>
        <v>4618</v>
      </c>
      <c r="N390" s="815">
        <f t="shared" si="247"/>
        <v>0</v>
      </c>
      <c r="O390" s="815">
        <f t="shared" si="247"/>
        <v>4618</v>
      </c>
    </row>
    <row r="391" spans="1:15" s="654" customFormat="1" x14ac:dyDescent="0.25">
      <c r="A391" s="812"/>
      <c r="B391" s="813" t="s">
        <v>1217</v>
      </c>
      <c r="C391" s="814">
        <f t="shared" ref="C391:O391" si="248">C69+C117+C130</f>
        <v>423</v>
      </c>
      <c r="D391" s="814">
        <f t="shared" si="248"/>
        <v>65</v>
      </c>
      <c r="E391" s="814">
        <f t="shared" si="248"/>
        <v>0</v>
      </c>
      <c r="F391" s="814">
        <f t="shared" si="248"/>
        <v>0</v>
      </c>
      <c r="G391" s="814">
        <f t="shared" si="248"/>
        <v>0</v>
      </c>
      <c r="H391" s="815">
        <f t="shared" si="248"/>
        <v>488</v>
      </c>
      <c r="I391" s="815">
        <f t="shared" si="248"/>
        <v>0</v>
      </c>
      <c r="J391" s="815">
        <f t="shared" si="248"/>
        <v>0</v>
      </c>
      <c r="K391" s="815">
        <f t="shared" si="248"/>
        <v>0</v>
      </c>
      <c r="L391" s="815">
        <f t="shared" si="248"/>
        <v>0</v>
      </c>
      <c r="M391" s="815">
        <f t="shared" si="248"/>
        <v>488</v>
      </c>
      <c r="N391" s="815">
        <f t="shared" si="248"/>
        <v>0</v>
      </c>
      <c r="O391" s="815">
        <f t="shared" si="248"/>
        <v>488</v>
      </c>
    </row>
    <row r="392" spans="1:15" s="654" customFormat="1" ht="31.5" x14ac:dyDescent="0.25">
      <c r="A392" s="812"/>
      <c r="B392" s="943" t="s">
        <v>564</v>
      </c>
      <c r="C392" s="814">
        <f t="shared" ref="C392:O392" si="249">C23+C35+C46+C57+C105+C118+C131+C142+C186+C208+C242+C252+C264+C278+C297+C310+C356+C71</f>
        <v>-1860</v>
      </c>
      <c r="D392" s="814">
        <f t="shared" si="249"/>
        <v>3341</v>
      </c>
      <c r="E392" s="814">
        <f t="shared" si="249"/>
        <v>-50733</v>
      </c>
      <c r="F392" s="814">
        <f t="shared" si="249"/>
        <v>12630</v>
      </c>
      <c r="G392" s="814">
        <f t="shared" si="249"/>
        <v>1</v>
      </c>
      <c r="H392" s="815">
        <f t="shared" si="249"/>
        <v>-36621</v>
      </c>
      <c r="I392" s="815">
        <f t="shared" si="249"/>
        <v>26039</v>
      </c>
      <c r="J392" s="815">
        <f t="shared" si="249"/>
        <v>10582</v>
      </c>
      <c r="K392" s="815">
        <f t="shared" si="249"/>
        <v>0</v>
      </c>
      <c r="L392" s="815">
        <f t="shared" si="249"/>
        <v>36621</v>
      </c>
      <c r="M392" s="815">
        <f t="shared" si="249"/>
        <v>0</v>
      </c>
      <c r="N392" s="815">
        <f t="shared" si="249"/>
        <v>0</v>
      </c>
      <c r="O392" s="815">
        <f t="shared" si="249"/>
        <v>0</v>
      </c>
    </row>
    <row r="393" spans="1:15" s="654" customFormat="1" ht="31.5" x14ac:dyDescent="0.25">
      <c r="A393" s="812"/>
      <c r="B393" s="943" t="s">
        <v>915</v>
      </c>
      <c r="C393" s="814">
        <f t="shared" ref="C393:O393" si="250">C12+C70+C106+C176+C187+C219+C298+C311+C24+C47+C82+C93+C119+C132+C143+C154+C165+C209+C230+C253+C265+C279</f>
        <v>39346</v>
      </c>
      <c r="D393" s="814">
        <f t="shared" si="250"/>
        <v>0</v>
      </c>
      <c r="E393" s="814">
        <f t="shared" si="250"/>
        <v>169732</v>
      </c>
      <c r="F393" s="814">
        <f t="shared" si="250"/>
        <v>0</v>
      </c>
      <c r="G393" s="814">
        <f t="shared" si="250"/>
        <v>0</v>
      </c>
      <c r="H393" s="815">
        <f t="shared" si="250"/>
        <v>209078</v>
      </c>
      <c r="I393" s="815">
        <f t="shared" si="250"/>
        <v>2482</v>
      </c>
      <c r="J393" s="815">
        <f t="shared" si="250"/>
        <v>0</v>
      </c>
      <c r="K393" s="815">
        <f t="shared" si="250"/>
        <v>0</v>
      </c>
      <c r="L393" s="815">
        <f t="shared" si="250"/>
        <v>2482</v>
      </c>
      <c r="M393" s="815">
        <f t="shared" si="250"/>
        <v>211560</v>
      </c>
      <c r="N393" s="815">
        <f t="shared" si="250"/>
        <v>0</v>
      </c>
      <c r="O393" s="815">
        <f t="shared" si="250"/>
        <v>211560</v>
      </c>
    </row>
    <row r="394" spans="1:15" s="654" customFormat="1" ht="31.5" x14ac:dyDescent="0.25">
      <c r="A394" s="812"/>
      <c r="B394" s="813" t="s">
        <v>1226</v>
      </c>
      <c r="C394" s="814">
        <f>C374</f>
        <v>-13</v>
      </c>
      <c r="D394" s="814">
        <f t="shared" ref="D394:O394" si="251">D374</f>
        <v>0</v>
      </c>
      <c r="E394" s="814">
        <f t="shared" si="251"/>
        <v>13</v>
      </c>
      <c r="F394" s="814">
        <f t="shared" si="251"/>
        <v>0</v>
      </c>
      <c r="G394" s="814">
        <f t="shared" si="251"/>
        <v>0</v>
      </c>
      <c r="H394" s="815">
        <f t="shared" si="251"/>
        <v>0</v>
      </c>
      <c r="I394" s="815">
        <f t="shared" si="251"/>
        <v>0</v>
      </c>
      <c r="J394" s="815">
        <f t="shared" si="251"/>
        <v>0</v>
      </c>
      <c r="K394" s="815">
        <f t="shared" si="251"/>
        <v>0</v>
      </c>
      <c r="L394" s="815">
        <f t="shared" si="251"/>
        <v>0</v>
      </c>
      <c r="M394" s="815">
        <f t="shared" si="251"/>
        <v>0</v>
      </c>
      <c r="N394" s="815">
        <f t="shared" si="251"/>
        <v>0</v>
      </c>
      <c r="O394" s="815">
        <f t="shared" si="251"/>
        <v>0</v>
      </c>
    </row>
    <row r="395" spans="1:15" s="654" customFormat="1" ht="31.5" x14ac:dyDescent="0.25">
      <c r="A395" s="812"/>
      <c r="B395" s="813" t="s">
        <v>1218</v>
      </c>
      <c r="C395" s="814">
        <f>C94</f>
        <v>0</v>
      </c>
      <c r="D395" s="814">
        <f t="shared" ref="D395:O395" si="252">D94</f>
        <v>0</v>
      </c>
      <c r="E395" s="814">
        <f t="shared" si="252"/>
        <v>-65</v>
      </c>
      <c r="F395" s="814">
        <f t="shared" si="252"/>
        <v>0</v>
      </c>
      <c r="G395" s="814">
        <f t="shared" si="252"/>
        <v>0</v>
      </c>
      <c r="H395" s="815">
        <f t="shared" si="252"/>
        <v>-65</v>
      </c>
      <c r="I395" s="815">
        <f t="shared" si="252"/>
        <v>0</v>
      </c>
      <c r="J395" s="815">
        <f t="shared" si="252"/>
        <v>0</v>
      </c>
      <c r="K395" s="815">
        <f t="shared" si="252"/>
        <v>0</v>
      </c>
      <c r="L395" s="815">
        <f t="shared" si="252"/>
        <v>0</v>
      </c>
      <c r="M395" s="815">
        <f t="shared" si="252"/>
        <v>-65</v>
      </c>
      <c r="N395" s="815">
        <f t="shared" si="252"/>
        <v>0</v>
      </c>
      <c r="O395" s="815">
        <f t="shared" si="252"/>
        <v>-65</v>
      </c>
    </row>
    <row r="396" spans="1:15" s="654" customFormat="1" x14ac:dyDescent="0.25">
      <c r="A396" s="812"/>
      <c r="B396" s="816" t="s">
        <v>132</v>
      </c>
      <c r="C396" s="814"/>
      <c r="D396" s="814"/>
      <c r="E396" s="814"/>
      <c r="F396" s="814"/>
      <c r="G396" s="817"/>
      <c r="H396" s="815"/>
      <c r="I396" s="814"/>
      <c r="J396" s="814"/>
      <c r="K396" s="818"/>
      <c r="L396" s="815"/>
      <c r="M396" s="815"/>
      <c r="N396" s="815"/>
      <c r="O396" s="815"/>
    </row>
    <row r="397" spans="1:15" s="654" customFormat="1" ht="31.5" x14ac:dyDescent="0.25">
      <c r="A397" s="812"/>
      <c r="B397" s="813" t="s">
        <v>1218</v>
      </c>
      <c r="C397" s="814">
        <f>+C156+C221</f>
        <v>0</v>
      </c>
      <c r="D397" s="814">
        <f t="shared" ref="D397:O397" si="253">+D156+D221</f>
        <v>0</v>
      </c>
      <c r="E397" s="814">
        <f t="shared" si="253"/>
        <v>-110</v>
      </c>
      <c r="F397" s="814">
        <f t="shared" si="253"/>
        <v>0</v>
      </c>
      <c r="G397" s="814">
        <f t="shared" si="253"/>
        <v>0</v>
      </c>
      <c r="H397" s="815">
        <f t="shared" si="253"/>
        <v>-110</v>
      </c>
      <c r="I397" s="815">
        <f t="shared" si="253"/>
        <v>0</v>
      </c>
      <c r="J397" s="815">
        <f t="shared" si="253"/>
        <v>0</v>
      </c>
      <c r="K397" s="815">
        <f t="shared" si="253"/>
        <v>0</v>
      </c>
      <c r="L397" s="815">
        <f t="shared" si="253"/>
        <v>0</v>
      </c>
      <c r="M397" s="815">
        <f t="shared" si="253"/>
        <v>-110</v>
      </c>
      <c r="N397" s="815">
        <f t="shared" si="253"/>
        <v>0</v>
      </c>
      <c r="O397" s="815">
        <f t="shared" si="253"/>
        <v>-110</v>
      </c>
    </row>
    <row r="398" spans="1:15" s="654" customFormat="1" ht="78.75" x14ac:dyDescent="0.25">
      <c r="A398" s="812"/>
      <c r="B398" s="813" t="s">
        <v>1227</v>
      </c>
      <c r="C398" s="814">
        <f t="shared" ref="C398:O399" si="254">C358</f>
        <v>0</v>
      </c>
      <c r="D398" s="814">
        <f t="shared" si="254"/>
        <v>0</v>
      </c>
      <c r="E398" s="814">
        <f t="shared" si="254"/>
        <v>-200</v>
      </c>
      <c r="F398" s="814">
        <f t="shared" si="254"/>
        <v>0</v>
      </c>
      <c r="G398" s="814">
        <f t="shared" si="254"/>
        <v>0</v>
      </c>
      <c r="H398" s="815">
        <f t="shared" si="254"/>
        <v>-200</v>
      </c>
      <c r="I398" s="815">
        <f t="shared" si="254"/>
        <v>0</v>
      </c>
      <c r="J398" s="815">
        <f t="shared" si="254"/>
        <v>0</v>
      </c>
      <c r="K398" s="815">
        <f t="shared" si="254"/>
        <v>0</v>
      </c>
      <c r="L398" s="815">
        <f t="shared" si="254"/>
        <v>0</v>
      </c>
      <c r="M398" s="815">
        <f t="shared" si="254"/>
        <v>-200</v>
      </c>
      <c r="N398" s="815">
        <f t="shared" si="254"/>
        <v>0</v>
      </c>
      <c r="O398" s="815">
        <f t="shared" si="254"/>
        <v>-200</v>
      </c>
    </row>
    <row r="399" spans="1:15" s="654" customFormat="1" ht="78.75" x14ac:dyDescent="0.25">
      <c r="A399" s="812"/>
      <c r="B399" s="813" t="s">
        <v>1228</v>
      </c>
      <c r="C399" s="814">
        <f t="shared" si="254"/>
        <v>0</v>
      </c>
      <c r="D399" s="814">
        <f t="shared" si="254"/>
        <v>0</v>
      </c>
      <c r="E399" s="814">
        <f t="shared" si="254"/>
        <v>-250</v>
      </c>
      <c r="F399" s="814">
        <f t="shared" si="254"/>
        <v>0</v>
      </c>
      <c r="G399" s="814">
        <f t="shared" si="254"/>
        <v>0</v>
      </c>
      <c r="H399" s="815">
        <f t="shared" si="254"/>
        <v>-250</v>
      </c>
      <c r="I399" s="815">
        <f t="shared" si="254"/>
        <v>0</v>
      </c>
      <c r="J399" s="815">
        <f t="shared" si="254"/>
        <v>0</v>
      </c>
      <c r="K399" s="815">
        <f t="shared" si="254"/>
        <v>0</v>
      </c>
      <c r="L399" s="815">
        <f t="shared" si="254"/>
        <v>0</v>
      </c>
      <c r="M399" s="815">
        <f t="shared" si="254"/>
        <v>-250</v>
      </c>
      <c r="N399" s="815">
        <f t="shared" si="254"/>
        <v>0</v>
      </c>
      <c r="O399" s="815">
        <f t="shared" si="254"/>
        <v>-250</v>
      </c>
    </row>
    <row r="400" spans="1:15" s="654" customFormat="1" ht="126" x14ac:dyDescent="0.25">
      <c r="A400" s="812"/>
      <c r="B400" s="813" t="s">
        <v>1229</v>
      </c>
      <c r="C400" s="814">
        <f t="shared" ref="C400:O400" si="255">C59+C73</f>
        <v>0</v>
      </c>
      <c r="D400" s="814">
        <f t="shared" si="255"/>
        <v>0</v>
      </c>
      <c r="E400" s="814">
        <f t="shared" si="255"/>
        <v>0</v>
      </c>
      <c r="F400" s="814">
        <f t="shared" si="255"/>
        <v>0</v>
      </c>
      <c r="G400" s="814">
        <f t="shared" si="255"/>
        <v>0</v>
      </c>
      <c r="H400" s="815">
        <f t="shared" si="255"/>
        <v>0</v>
      </c>
      <c r="I400" s="815">
        <f t="shared" si="255"/>
        <v>0</v>
      </c>
      <c r="J400" s="815">
        <f t="shared" si="255"/>
        <v>0</v>
      </c>
      <c r="K400" s="815">
        <f t="shared" si="255"/>
        <v>0</v>
      </c>
      <c r="L400" s="815">
        <f t="shared" si="255"/>
        <v>0</v>
      </c>
      <c r="M400" s="815">
        <f t="shared" si="255"/>
        <v>0</v>
      </c>
      <c r="N400" s="815">
        <f t="shared" si="255"/>
        <v>0</v>
      </c>
      <c r="O400" s="815">
        <f t="shared" si="255"/>
        <v>0</v>
      </c>
    </row>
    <row r="401" spans="1:16" s="654" customFormat="1" ht="31.5" x14ac:dyDescent="0.25">
      <c r="A401" s="812"/>
      <c r="B401" s="813" t="s">
        <v>1214</v>
      </c>
      <c r="C401" s="814">
        <f t="shared" ref="C401:O401" si="256">C336</f>
        <v>-20</v>
      </c>
      <c r="D401" s="814">
        <f t="shared" si="256"/>
        <v>-3</v>
      </c>
      <c r="E401" s="814">
        <f t="shared" si="256"/>
        <v>0</v>
      </c>
      <c r="F401" s="814">
        <f t="shared" si="256"/>
        <v>0</v>
      </c>
      <c r="G401" s="814">
        <f t="shared" si="256"/>
        <v>0</v>
      </c>
      <c r="H401" s="815">
        <f t="shared" si="256"/>
        <v>-23</v>
      </c>
      <c r="I401" s="815">
        <f t="shared" si="256"/>
        <v>0</v>
      </c>
      <c r="J401" s="815">
        <f t="shared" si="256"/>
        <v>0</v>
      </c>
      <c r="K401" s="815">
        <f t="shared" si="256"/>
        <v>0</v>
      </c>
      <c r="L401" s="815">
        <f t="shared" si="256"/>
        <v>0</v>
      </c>
      <c r="M401" s="815">
        <f t="shared" si="256"/>
        <v>-23</v>
      </c>
      <c r="N401" s="815">
        <f t="shared" si="256"/>
        <v>0</v>
      </c>
      <c r="O401" s="815">
        <f t="shared" si="256"/>
        <v>-23</v>
      </c>
    </row>
    <row r="402" spans="1:16" s="654" customFormat="1" ht="47.25" x14ac:dyDescent="0.25">
      <c r="A402" s="812"/>
      <c r="B402" s="813" t="s">
        <v>1230</v>
      </c>
      <c r="C402" s="814">
        <f t="shared" ref="C402:O402" si="257">C267</f>
        <v>3</v>
      </c>
      <c r="D402" s="814">
        <f t="shared" si="257"/>
        <v>1</v>
      </c>
      <c r="E402" s="814">
        <f t="shared" si="257"/>
        <v>0</v>
      </c>
      <c r="F402" s="814">
        <f t="shared" si="257"/>
        <v>0</v>
      </c>
      <c r="G402" s="814">
        <f t="shared" si="257"/>
        <v>0</v>
      </c>
      <c r="H402" s="815">
        <f t="shared" si="257"/>
        <v>4</v>
      </c>
      <c r="I402" s="815">
        <f t="shared" si="257"/>
        <v>0</v>
      </c>
      <c r="J402" s="815">
        <f t="shared" si="257"/>
        <v>0</v>
      </c>
      <c r="K402" s="815">
        <f t="shared" si="257"/>
        <v>0</v>
      </c>
      <c r="L402" s="815">
        <f t="shared" si="257"/>
        <v>0</v>
      </c>
      <c r="M402" s="815">
        <f t="shared" si="257"/>
        <v>4</v>
      </c>
      <c r="N402" s="815">
        <f t="shared" si="257"/>
        <v>0</v>
      </c>
      <c r="O402" s="815">
        <f t="shared" si="257"/>
        <v>4</v>
      </c>
    </row>
    <row r="403" spans="1:16" s="654" customFormat="1" x14ac:dyDescent="0.25">
      <c r="A403" s="812"/>
      <c r="B403" s="813" t="s">
        <v>1231</v>
      </c>
      <c r="C403" s="814">
        <f t="shared" ref="C403:O403" si="258">C360</f>
        <v>0</v>
      </c>
      <c r="D403" s="814">
        <f t="shared" si="258"/>
        <v>0</v>
      </c>
      <c r="E403" s="814">
        <f t="shared" si="258"/>
        <v>100</v>
      </c>
      <c r="F403" s="814">
        <f t="shared" si="258"/>
        <v>0</v>
      </c>
      <c r="G403" s="814">
        <f t="shared" si="258"/>
        <v>0</v>
      </c>
      <c r="H403" s="815">
        <f t="shared" si="258"/>
        <v>100</v>
      </c>
      <c r="I403" s="815">
        <f t="shared" si="258"/>
        <v>0</v>
      </c>
      <c r="J403" s="815">
        <f t="shared" si="258"/>
        <v>0</v>
      </c>
      <c r="K403" s="815">
        <f t="shared" si="258"/>
        <v>0</v>
      </c>
      <c r="L403" s="815">
        <f t="shared" si="258"/>
        <v>0</v>
      </c>
      <c r="M403" s="815">
        <f t="shared" si="258"/>
        <v>100</v>
      </c>
      <c r="N403" s="815">
        <f t="shared" si="258"/>
        <v>0</v>
      </c>
      <c r="O403" s="815">
        <f t="shared" si="258"/>
        <v>100</v>
      </c>
    </row>
    <row r="404" spans="1:16" s="654" customFormat="1" ht="126" x14ac:dyDescent="0.25">
      <c r="A404" s="812"/>
      <c r="B404" s="813" t="s">
        <v>1232</v>
      </c>
      <c r="C404" s="814">
        <f>C337+C338+C346+C361+C313+C314</f>
        <v>208</v>
      </c>
      <c r="D404" s="814">
        <f t="shared" ref="D404:O404" si="259">D337+D338+D346+D361+D313+D314</f>
        <v>32</v>
      </c>
      <c r="E404" s="814">
        <f t="shared" si="259"/>
        <v>6215</v>
      </c>
      <c r="F404" s="814">
        <f t="shared" si="259"/>
        <v>0</v>
      </c>
      <c r="G404" s="814">
        <f t="shared" si="259"/>
        <v>0</v>
      </c>
      <c r="H404" s="815">
        <f t="shared" si="259"/>
        <v>6455</v>
      </c>
      <c r="I404" s="815">
        <f t="shared" si="259"/>
        <v>20870</v>
      </c>
      <c r="J404" s="815">
        <f t="shared" si="259"/>
        <v>0</v>
      </c>
      <c r="K404" s="815">
        <f t="shared" si="259"/>
        <v>0</v>
      </c>
      <c r="L404" s="815">
        <f t="shared" si="259"/>
        <v>20870</v>
      </c>
      <c r="M404" s="815">
        <f t="shared" si="259"/>
        <v>27325</v>
      </c>
      <c r="N404" s="815">
        <f t="shared" si="259"/>
        <v>0</v>
      </c>
      <c r="O404" s="815">
        <f t="shared" si="259"/>
        <v>27325</v>
      </c>
    </row>
    <row r="405" spans="1:16" s="654" customFormat="1" ht="47.25" x14ac:dyDescent="0.25">
      <c r="A405" s="812"/>
      <c r="B405" s="813" t="s">
        <v>1233</v>
      </c>
      <c r="C405" s="814">
        <f t="shared" ref="C405:O405" si="260">C300</f>
        <v>0</v>
      </c>
      <c r="D405" s="814">
        <f t="shared" si="260"/>
        <v>0</v>
      </c>
      <c r="E405" s="814">
        <f t="shared" si="260"/>
        <v>-9</v>
      </c>
      <c r="F405" s="814">
        <f t="shared" si="260"/>
        <v>0</v>
      </c>
      <c r="G405" s="814">
        <f t="shared" si="260"/>
        <v>0</v>
      </c>
      <c r="H405" s="815">
        <f t="shared" si="260"/>
        <v>-9</v>
      </c>
      <c r="I405" s="815">
        <f t="shared" si="260"/>
        <v>0</v>
      </c>
      <c r="J405" s="815">
        <f t="shared" si="260"/>
        <v>0</v>
      </c>
      <c r="K405" s="815">
        <f t="shared" si="260"/>
        <v>0</v>
      </c>
      <c r="L405" s="815">
        <f t="shared" si="260"/>
        <v>0</v>
      </c>
      <c r="M405" s="815">
        <f t="shared" si="260"/>
        <v>-9</v>
      </c>
      <c r="N405" s="815">
        <f t="shared" si="260"/>
        <v>0</v>
      </c>
      <c r="O405" s="815">
        <f t="shared" si="260"/>
        <v>-9</v>
      </c>
    </row>
    <row r="406" spans="1:16" s="654" customFormat="1" ht="31.5" x14ac:dyDescent="0.25">
      <c r="A406" s="812"/>
      <c r="B406" s="813" t="s">
        <v>564</v>
      </c>
      <c r="C406" s="814">
        <f t="shared" ref="C406:O406" si="261">C288+C329+C347</f>
        <v>0</v>
      </c>
      <c r="D406" s="814">
        <f t="shared" si="261"/>
        <v>0</v>
      </c>
      <c r="E406" s="814">
        <f t="shared" si="261"/>
        <v>-4089</v>
      </c>
      <c r="F406" s="814">
        <f t="shared" si="261"/>
        <v>0</v>
      </c>
      <c r="G406" s="814">
        <f t="shared" si="261"/>
        <v>0</v>
      </c>
      <c r="H406" s="815">
        <f t="shared" si="261"/>
        <v>-4089</v>
      </c>
      <c r="I406" s="815">
        <f t="shared" si="261"/>
        <v>4089</v>
      </c>
      <c r="J406" s="815">
        <f t="shared" si="261"/>
        <v>0</v>
      </c>
      <c r="K406" s="815">
        <f t="shared" si="261"/>
        <v>0</v>
      </c>
      <c r="L406" s="815">
        <f t="shared" si="261"/>
        <v>4089</v>
      </c>
      <c r="M406" s="815">
        <f t="shared" si="261"/>
        <v>0</v>
      </c>
      <c r="N406" s="815">
        <f t="shared" si="261"/>
        <v>0</v>
      </c>
      <c r="O406" s="815">
        <f t="shared" si="261"/>
        <v>0</v>
      </c>
    </row>
    <row r="407" spans="1:16" s="654" customFormat="1" ht="31.5" x14ac:dyDescent="0.25">
      <c r="A407" s="812"/>
      <c r="B407" s="813" t="s">
        <v>915</v>
      </c>
      <c r="C407" s="814">
        <f t="shared" ref="C407:O407" si="262">C301+C348+C339+C322</f>
        <v>0</v>
      </c>
      <c r="D407" s="814">
        <f t="shared" si="262"/>
        <v>0</v>
      </c>
      <c r="E407" s="814">
        <f t="shared" si="262"/>
        <v>12617</v>
      </c>
      <c r="F407" s="814">
        <f t="shared" si="262"/>
        <v>0</v>
      </c>
      <c r="G407" s="814">
        <f t="shared" si="262"/>
        <v>0</v>
      </c>
      <c r="H407" s="815">
        <f t="shared" si="262"/>
        <v>12617</v>
      </c>
      <c r="I407" s="815">
        <f t="shared" si="262"/>
        <v>0</v>
      </c>
      <c r="J407" s="815">
        <f t="shared" si="262"/>
        <v>0</v>
      </c>
      <c r="K407" s="815">
        <f t="shared" si="262"/>
        <v>0</v>
      </c>
      <c r="L407" s="815">
        <f t="shared" si="262"/>
        <v>0</v>
      </c>
      <c r="M407" s="815">
        <f t="shared" si="262"/>
        <v>12617</v>
      </c>
      <c r="N407" s="815">
        <f t="shared" si="262"/>
        <v>0</v>
      </c>
      <c r="O407" s="815">
        <f t="shared" si="262"/>
        <v>12617</v>
      </c>
    </row>
    <row r="408" spans="1:16" s="654" customFormat="1" x14ac:dyDescent="0.25">
      <c r="A408" s="812"/>
      <c r="B408" s="819" t="s">
        <v>333</v>
      </c>
      <c r="C408" s="814"/>
      <c r="D408" s="814"/>
      <c r="E408" s="814"/>
      <c r="F408" s="814"/>
      <c r="G408" s="814"/>
      <c r="H408" s="815"/>
      <c r="I408" s="815"/>
      <c r="J408" s="815"/>
      <c r="K408" s="815"/>
      <c r="L408" s="815"/>
      <c r="M408" s="815"/>
      <c r="N408" s="815"/>
      <c r="O408" s="815"/>
    </row>
    <row r="409" spans="1:16" s="654" customFormat="1" ht="31.5" x14ac:dyDescent="0.25">
      <c r="A409" s="812"/>
      <c r="B409" s="813" t="s">
        <v>1226</v>
      </c>
      <c r="C409" s="814">
        <f t="shared" ref="C409:O409" si="263">C380</f>
        <v>-10</v>
      </c>
      <c r="D409" s="814">
        <f t="shared" si="263"/>
        <v>0</v>
      </c>
      <c r="E409" s="814">
        <f t="shared" si="263"/>
        <v>10</v>
      </c>
      <c r="F409" s="814">
        <f t="shared" si="263"/>
        <v>0</v>
      </c>
      <c r="G409" s="814">
        <f t="shared" si="263"/>
        <v>0</v>
      </c>
      <c r="H409" s="815">
        <f t="shared" si="263"/>
        <v>0</v>
      </c>
      <c r="I409" s="815">
        <f t="shared" si="263"/>
        <v>0</v>
      </c>
      <c r="J409" s="815">
        <f t="shared" si="263"/>
        <v>0</v>
      </c>
      <c r="K409" s="815">
        <f t="shared" si="263"/>
        <v>0</v>
      </c>
      <c r="L409" s="815">
        <f t="shared" si="263"/>
        <v>0</v>
      </c>
      <c r="M409" s="815">
        <f t="shared" si="263"/>
        <v>0</v>
      </c>
      <c r="N409" s="815">
        <f t="shared" si="263"/>
        <v>0</v>
      </c>
      <c r="O409" s="815">
        <f t="shared" si="263"/>
        <v>0</v>
      </c>
    </row>
    <row r="410" spans="1:16" s="654" customFormat="1" ht="16.5" thickBot="1" x14ac:dyDescent="0.3">
      <c r="A410" s="944"/>
      <c r="B410" s="945"/>
      <c r="C410" s="946"/>
      <c r="D410" s="946"/>
      <c r="E410" s="946"/>
      <c r="F410" s="946"/>
      <c r="G410" s="946"/>
      <c r="H410" s="947"/>
      <c r="I410" s="947"/>
      <c r="J410" s="947"/>
      <c r="K410" s="947"/>
      <c r="L410" s="947"/>
      <c r="M410" s="947"/>
      <c r="N410" s="947"/>
      <c r="O410" s="947"/>
    </row>
    <row r="411" spans="1:16" ht="17.25" thickTop="1" thickBot="1" x14ac:dyDescent="0.3">
      <c r="A411" s="743"/>
      <c r="B411" s="744" t="s">
        <v>375</v>
      </c>
      <c r="C411" s="791">
        <f t="shared" ref="C411:O411" si="264">SUM(C387:C410)</f>
        <v>8598707</v>
      </c>
      <c r="D411" s="791">
        <f t="shared" si="264"/>
        <v>1550328</v>
      </c>
      <c r="E411" s="791">
        <f t="shared" si="264"/>
        <v>4665995</v>
      </c>
      <c r="F411" s="791">
        <f t="shared" si="264"/>
        <v>24218</v>
      </c>
      <c r="G411" s="791">
        <f t="shared" si="264"/>
        <v>81806</v>
      </c>
      <c r="H411" s="791">
        <f t="shared" si="264"/>
        <v>14921054</v>
      </c>
      <c r="I411" s="791">
        <f t="shared" si="264"/>
        <v>400639</v>
      </c>
      <c r="J411" s="791">
        <f t="shared" si="264"/>
        <v>21962</v>
      </c>
      <c r="K411" s="791">
        <f t="shared" si="264"/>
        <v>0</v>
      </c>
      <c r="L411" s="791">
        <f t="shared" si="264"/>
        <v>422601</v>
      </c>
      <c r="M411" s="791">
        <f t="shared" si="264"/>
        <v>15343655</v>
      </c>
      <c r="N411" s="791">
        <f t="shared" si="264"/>
        <v>0</v>
      </c>
      <c r="O411" s="791">
        <f t="shared" si="264"/>
        <v>15343655</v>
      </c>
      <c r="P411" s="809">
        <f>O412+O413+O414</f>
        <v>15343655</v>
      </c>
    </row>
    <row r="412" spans="1:16" ht="17.25" thickTop="1" thickBot="1" x14ac:dyDescent="0.3">
      <c r="A412" s="743"/>
      <c r="B412" s="744" t="s">
        <v>378</v>
      </c>
      <c r="C412" s="745">
        <f t="shared" ref="C412:O412" si="265">SUM(C15+C27+C38+C50+C61+C75+C85+C97+C109+C122+C135+C146+C158+C168+C179+C190+C201+C212+C223+C233+C245+C256+C269+C282+C303+C316+C363+C383)</f>
        <v>6495135</v>
      </c>
      <c r="D412" s="745">
        <f t="shared" si="265"/>
        <v>1172204</v>
      </c>
      <c r="E412" s="745">
        <f t="shared" si="265"/>
        <v>3555053</v>
      </c>
      <c r="F412" s="745">
        <f t="shared" si="265"/>
        <v>24218</v>
      </c>
      <c r="G412" s="745">
        <f t="shared" si="265"/>
        <v>34806</v>
      </c>
      <c r="H412" s="745">
        <f t="shared" si="265"/>
        <v>11281416</v>
      </c>
      <c r="I412" s="745">
        <f t="shared" si="265"/>
        <v>214656</v>
      </c>
      <c r="J412" s="745">
        <f t="shared" si="265"/>
        <v>18934</v>
      </c>
      <c r="K412" s="745">
        <f t="shared" si="265"/>
        <v>0</v>
      </c>
      <c r="L412" s="745">
        <f t="shared" si="265"/>
        <v>233590</v>
      </c>
      <c r="M412" s="745">
        <f t="shared" si="265"/>
        <v>11515006</v>
      </c>
      <c r="N412" s="745">
        <f t="shared" si="265"/>
        <v>0</v>
      </c>
      <c r="O412" s="745">
        <f t="shared" si="265"/>
        <v>11515006</v>
      </c>
    </row>
    <row r="413" spans="1:16" ht="17.25" thickTop="1" thickBot="1" x14ac:dyDescent="0.3">
      <c r="A413" s="743"/>
      <c r="B413" s="744" t="s">
        <v>377</v>
      </c>
      <c r="C413" s="745">
        <f t="shared" ref="C413:O413" si="266">SUM(C16+C28+C39+C51+C62+C76+C86+C98+C110+C123+C136+C147+C159+C169+C180+C191+C202+C213+C224+C234+C246+C257+C270+C283+C290+C304+C317+C331+C341+C364+C350+C384+C324)</f>
        <v>1420629</v>
      </c>
      <c r="D413" s="745">
        <f t="shared" si="266"/>
        <v>246137</v>
      </c>
      <c r="E413" s="745">
        <f t="shared" si="266"/>
        <v>998459</v>
      </c>
      <c r="F413" s="745">
        <f t="shared" si="266"/>
        <v>0</v>
      </c>
      <c r="G413" s="745">
        <f t="shared" si="266"/>
        <v>47000</v>
      </c>
      <c r="H413" s="745">
        <f t="shared" si="266"/>
        <v>2712225</v>
      </c>
      <c r="I413" s="745">
        <f t="shared" si="266"/>
        <v>126417</v>
      </c>
      <c r="J413" s="745">
        <f t="shared" si="266"/>
        <v>677</v>
      </c>
      <c r="K413" s="745">
        <f t="shared" si="266"/>
        <v>0</v>
      </c>
      <c r="L413" s="745">
        <f t="shared" si="266"/>
        <v>127094</v>
      </c>
      <c r="M413" s="745">
        <f t="shared" si="266"/>
        <v>2839319</v>
      </c>
      <c r="N413" s="745">
        <f t="shared" si="266"/>
        <v>0</v>
      </c>
      <c r="O413" s="745">
        <f t="shared" si="266"/>
        <v>2839319</v>
      </c>
    </row>
    <row r="414" spans="1:16" ht="33" thickTop="1" thickBot="1" x14ac:dyDescent="0.3">
      <c r="A414" s="743"/>
      <c r="B414" s="744" t="s">
        <v>446</v>
      </c>
      <c r="C414" s="745">
        <f t="shared" ref="C414:O414" si="267">SUM(C385)</f>
        <v>682943</v>
      </c>
      <c r="D414" s="745">
        <f t="shared" si="267"/>
        <v>131987</v>
      </c>
      <c r="E414" s="745">
        <f t="shared" si="267"/>
        <v>112483</v>
      </c>
      <c r="F414" s="745">
        <f t="shared" si="267"/>
        <v>0</v>
      </c>
      <c r="G414" s="745">
        <f t="shared" si="267"/>
        <v>0</v>
      </c>
      <c r="H414" s="745">
        <f t="shared" si="267"/>
        <v>927413</v>
      </c>
      <c r="I414" s="745">
        <f t="shared" si="267"/>
        <v>59566</v>
      </c>
      <c r="J414" s="745">
        <f t="shared" si="267"/>
        <v>2351</v>
      </c>
      <c r="K414" s="745">
        <f t="shared" si="267"/>
        <v>0</v>
      </c>
      <c r="L414" s="745">
        <f t="shared" si="267"/>
        <v>61917</v>
      </c>
      <c r="M414" s="745">
        <f t="shared" si="267"/>
        <v>989330</v>
      </c>
      <c r="N414" s="745">
        <f t="shared" si="267"/>
        <v>0</v>
      </c>
      <c r="O414" s="745">
        <f t="shared" si="267"/>
        <v>989330</v>
      </c>
    </row>
    <row r="415" spans="1:16" ht="24" hidden="1" customHeight="1" thickTop="1" x14ac:dyDescent="0.25"/>
    <row r="416" spans="1:16" hidden="1" x14ac:dyDescent="0.25">
      <c r="C416" s="650">
        <f t="shared" ref="C416:O416" si="268">SUM(C411-C387)</f>
        <v>42019</v>
      </c>
      <c r="D416" s="650">
        <f t="shared" si="268"/>
        <v>4048</v>
      </c>
      <c r="E416" s="650">
        <f t="shared" si="268"/>
        <v>133231</v>
      </c>
      <c r="F416" s="650">
        <f t="shared" si="268"/>
        <v>12630</v>
      </c>
      <c r="G416" s="650">
        <f t="shared" si="268"/>
        <v>1</v>
      </c>
      <c r="H416" s="650">
        <f t="shared" si="268"/>
        <v>191929</v>
      </c>
      <c r="I416" s="650">
        <f t="shared" si="268"/>
        <v>53480</v>
      </c>
      <c r="J416" s="650">
        <f t="shared" si="268"/>
        <v>10582</v>
      </c>
      <c r="K416" s="650">
        <f t="shared" si="268"/>
        <v>0</v>
      </c>
      <c r="L416" s="650">
        <f t="shared" si="268"/>
        <v>64062</v>
      </c>
      <c r="M416" s="650">
        <f t="shared" si="268"/>
        <v>255991</v>
      </c>
      <c r="N416" s="650">
        <f t="shared" si="268"/>
        <v>0</v>
      </c>
      <c r="O416" s="650">
        <f t="shared" si="268"/>
        <v>255991</v>
      </c>
    </row>
    <row r="417" spans="2:15" hidden="1" x14ac:dyDescent="0.25"/>
    <row r="418" spans="2:15" hidden="1" x14ac:dyDescent="0.25">
      <c r="B418" s="615" t="s">
        <v>662</v>
      </c>
      <c r="C418" s="650">
        <f t="shared" ref="C418:O419" si="269">+C411</f>
        <v>8598707</v>
      </c>
      <c r="D418" s="650">
        <f t="shared" si="269"/>
        <v>1550328</v>
      </c>
      <c r="E418" s="650">
        <f t="shared" si="269"/>
        <v>4665995</v>
      </c>
      <c r="F418" s="650">
        <f t="shared" si="269"/>
        <v>24218</v>
      </c>
      <c r="G418" s="650">
        <f t="shared" si="269"/>
        <v>81806</v>
      </c>
      <c r="H418" s="650">
        <f t="shared" si="269"/>
        <v>14921054</v>
      </c>
      <c r="I418" s="650">
        <f t="shared" si="269"/>
        <v>400639</v>
      </c>
      <c r="J418" s="650">
        <f t="shared" si="269"/>
        <v>21962</v>
      </c>
      <c r="K418" s="650">
        <f t="shared" si="269"/>
        <v>0</v>
      </c>
      <c r="L418" s="650">
        <f t="shared" si="269"/>
        <v>422601</v>
      </c>
      <c r="M418" s="650">
        <f t="shared" si="269"/>
        <v>15343655</v>
      </c>
      <c r="N418" s="650">
        <f t="shared" si="269"/>
        <v>0</v>
      </c>
      <c r="O418" s="650">
        <f t="shared" si="269"/>
        <v>15343655</v>
      </c>
    </row>
    <row r="419" spans="2:15" hidden="1" x14ac:dyDescent="0.25">
      <c r="B419" s="615" t="s">
        <v>663</v>
      </c>
      <c r="C419" s="650">
        <f>+C412</f>
        <v>6495135</v>
      </c>
      <c r="D419" s="650">
        <f t="shared" si="269"/>
        <v>1172204</v>
      </c>
      <c r="E419" s="650">
        <f t="shared" si="269"/>
        <v>3555053</v>
      </c>
      <c r="F419" s="650">
        <f t="shared" si="269"/>
        <v>24218</v>
      </c>
      <c r="G419" s="650">
        <f t="shared" si="269"/>
        <v>34806</v>
      </c>
      <c r="H419" s="650">
        <f t="shared" si="269"/>
        <v>11281416</v>
      </c>
      <c r="I419" s="650">
        <f t="shared" si="269"/>
        <v>214656</v>
      </c>
      <c r="J419" s="650">
        <f t="shared" si="269"/>
        <v>18934</v>
      </c>
      <c r="K419" s="650">
        <f t="shared" si="269"/>
        <v>0</v>
      </c>
      <c r="L419" s="650">
        <f t="shared" si="269"/>
        <v>233590</v>
      </c>
      <c r="M419" s="650">
        <f t="shared" si="269"/>
        <v>11515006</v>
      </c>
      <c r="N419" s="650">
        <f t="shared" si="269"/>
        <v>0</v>
      </c>
      <c r="O419" s="650">
        <f t="shared" si="269"/>
        <v>11515006</v>
      </c>
    </row>
    <row r="420" spans="2:15" hidden="1" x14ac:dyDescent="0.25">
      <c r="B420" s="615" t="s">
        <v>377</v>
      </c>
      <c r="C420" s="650">
        <f t="shared" ref="C420:O421" si="270">+C413</f>
        <v>1420629</v>
      </c>
      <c r="D420" s="650">
        <f t="shared" si="270"/>
        <v>246137</v>
      </c>
      <c r="E420" s="650">
        <f t="shared" si="270"/>
        <v>998459</v>
      </c>
      <c r="F420" s="650">
        <f t="shared" si="270"/>
        <v>0</v>
      </c>
      <c r="G420" s="650">
        <f t="shared" si="270"/>
        <v>47000</v>
      </c>
      <c r="H420" s="650">
        <f t="shared" si="270"/>
        <v>2712225</v>
      </c>
      <c r="I420" s="650">
        <f t="shared" si="270"/>
        <v>126417</v>
      </c>
      <c r="J420" s="650">
        <f t="shared" si="270"/>
        <v>677</v>
      </c>
      <c r="K420" s="650">
        <f t="shared" si="270"/>
        <v>0</v>
      </c>
      <c r="L420" s="650">
        <f t="shared" si="270"/>
        <v>127094</v>
      </c>
      <c r="M420" s="650">
        <f t="shared" si="270"/>
        <v>2839319</v>
      </c>
      <c r="N420" s="650">
        <f t="shared" si="270"/>
        <v>0</v>
      </c>
      <c r="O420" s="650">
        <f t="shared" si="270"/>
        <v>2839319</v>
      </c>
    </row>
    <row r="421" spans="2:15" hidden="1" x14ac:dyDescent="0.25">
      <c r="B421" s="615" t="s">
        <v>664</v>
      </c>
      <c r="C421" s="650">
        <f t="shared" si="270"/>
        <v>682943</v>
      </c>
      <c r="D421" s="650">
        <f t="shared" si="270"/>
        <v>131987</v>
      </c>
      <c r="E421" s="650">
        <f t="shared" si="270"/>
        <v>112483</v>
      </c>
      <c r="F421" s="650">
        <f t="shared" si="270"/>
        <v>0</v>
      </c>
      <c r="G421" s="650">
        <f t="shared" si="270"/>
        <v>0</v>
      </c>
      <c r="H421" s="650">
        <f t="shared" si="270"/>
        <v>927413</v>
      </c>
      <c r="I421" s="650">
        <f t="shared" si="270"/>
        <v>59566</v>
      </c>
      <c r="J421" s="650">
        <f t="shared" si="270"/>
        <v>2351</v>
      </c>
      <c r="K421" s="650">
        <f t="shared" si="270"/>
        <v>0</v>
      </c>
      <c r="L421" s="650">
        <f t="shared" si="270"/>
        <v>61917</v>
      </c>
      <c r="M421" s="650">
        <f t="shared" si="270"/>
        <v>989330</v>
      </c>
      <c r="N421" s="650">
        <f t="shared" si="270"/>
        <v>0</v>
      </c>
      <c r="O421" s="650">
        <f t="shared" si="270"/>
        <v>989330</v>
      </c>
    </row>
    <row r="422" spans="2:15" hidden="1" x14ac:dyDescent="0.25">
      <c r="C422" s="650">
        <f t="shared" ref="C422:O422" si="271">SUM(C419:C421)-C416</f>
        <v>8556688</v>
      </c>
      <c r="D422" s="650">
        <f t="shared" si="271"/>
        <v>1546280</v>
      </c>
      <c r="E422" s="650">
        <f t="shared" si="271"/>
        <v>4532764</v>
      </c>
      <c r="F422" s="650">
        <f t="shared" si="271"/>
        <v>11588</v>
      </c>
      <c r="G422" s="650">
        <f t="shared" si="271"/>
        <v>81805</v>
      </c>
      <c r="H422" s="650">
        <f t="shared" si="271"/>
        <v>14729125</v>
      </c>
      <c r="I422" s="650">
        <f t="shared" si="271"/>
        <v>347159</v>
      </c>
      <c r="J422" s="650">
        <f t="shared" si="271"/>
        <v>11380</v>
      </c>
      <c r="K422" s="650">
        <f t="shared" si="271"/>
        <v>0</v>
      </c>
      <c r="L422" s="650">
        <f t="shared" si="271"/>
        <v>358539</v>
      </c>
      <c r="M422" s="650">
        <f t="shared" si="271"/>
        <v>15087664</v>
      </c>
      <c r="N422" s="650">
        <f t="shared" si="271"/>
        <v>0</v>
      </c>
      <c r="O422" s="650">
        <f t="shared" si="271"/>
        <v>15087664</v>
      </c>
    </row>
    <row r="423" spans="2:15" hidden="1" x14ac:dyDescent="0.25">
      <c r="C423" s="650"/>
      <c r="D423" s="650"/>
      <c r="E423" s="650"/>
      <c r="F423" s="650"/>
      <c r="G423" s="650"/>
      <c r="H423" s="650"/>
      <c r="I423" s="650"/>
      <c r="J423" s="650"/>
      <c r="K423" s="650"/>
      <c r="L423" s="650"/>
      <c r="M423" s="650"/>
      <c r="N423" s="650"/>
      <c r="O423" s="650"/>
    </row>
    <row r="424" spans="2:15" hidden="1" x14ac:dyDescent="0.25">
      <c r="C424" s="650">
        <f t="shared" ref="C424:O424" si="272">SUM(C425:C427)</f>
        <v>42019</v>
      </c>
      <c r="D424" s="650">
        <f t="shared" si="272"/>
        <v>4048</v>
      </c>
      <c r="E424" s="650">
        <f t="shared" si="272"/>
        <v>133231</v>
      </c>
      <c r="F424" s="650">
        <f t="shared" si="272"/>
        <v>12630</v>
      </c>
      <c r="G424" s="650">
        <f t="shared" si="272"/>
        <v>1</v>
      </c>
      <c r="H424" s="650">
        <f t="shared" si="272"/>
        <v>191929</v>
      </c>
      <c r="I424" s="650">
        <f t="shared" si="272"/>
        <v>53480</v>
      </c>
      <c r="J424" s="650">
        <f t="shared" si="272"/>
        <v>10582</v>
      </c>
      <c r="K424" s="650">
        <f t="shared" si="272"/>
        <v>0</v>
      </c>
      <c r="L424" s="650">
        <f t="shared" si="272"/>
        <v>64062</v>
      </c>
      <c r="M424" s="650">
        <f t="shared" si="272"/>
        <v>255991</v>
      </c>
      <c r="N424" s="650">
        <f t="shared" si="272"/>
        <v>0</v>
      </c>
      <c r="O424" s="650">
        <f t="shared" si="272"/>
        <v>255991</v>
      </c>
    </row>
    <row r="425" spans="2:15" hidden="1" x14ac:dyDescent="0.25">
      <c r="B425" s="615" t="s">
        <v>663</v>
      </c>
      <c r="C425" s="650">
        <f t="shared" ref="C425:O425" si="273">SUM(C389:C395)</f>
        <v>41838</v>
      </c>
      <c r="D425" s="650">
        <f t="shared" si="273"/>
        <v>4018</v>
      </c>
      <c r="E425" s="650">
        <f t="shared" si="273"/>
        <v>118947</v>
      </c>
      <c r="F425" s="650">
        <f t="shared" si="273"/>
        <v>12630</v>
      </c>
      <c r="G425" s="650">
        <f t="shared" si="273"/>
        <v>1</v>
      </c>
      <c r="H425" s="650">
        <f t="shared" si="273"/>
        <v>177434</v>
      </c>
      <c r="I425" s="650">
        <f t="shared" si="273"/>
        <v>28521</v>
      </c>
      <c r="J425" s="650">
        <f t="shared" si="273"/>
        <v>10582</v>
      </c>
      <c r="K425" s="650">
        <f t="shared" si="273"/>
        <v>0</v>
      </c>
      <c r="L425" s="650">
        <f t="shared" si="273"/>
        <v>39103</v>
      </c>
      <c r="M425" s="650">
        <f t="shared" si="273"/>
        <v>216537</v>
      </c>
      <c r="N425" s="650">
        <f t="shared" si="273"/>
        <v>0</v>
      </c>
      <c r="O425" s="650">
        <f t="shared" si="273"/>
        <v>216537</v>
      </c>
    </row>
    <row r="426" spans="2:15" hidden="1" x14ac:dyDescent="0.25">
      <c r="B426" s="615" t="s">
        <v>377</v>
      </c>
      <c r="C426" s="650">
        <f t="shared" ref="C426:O426" si="274">SUM(C397:C407)</f>
        <v>191</v>
      </c>
      <c r="D426" s="650">
        <f t="shared" si="274"/>
        <v>30</v>
      </c>
      <c r="E426" s="650">
        <f t="shared" si="274"/>
        <v>14274</v>
      </c>
      <c r="F426" s="650">
        <f t="shared" si="274"/>
        <v>0</v>
      </c>
      <c r="G426" s="650">
        <f t="shared" si="274"/>
        <v>0</v>
      </c>
      <c r="H426" s="650">
        <f t="shared" si="274"/>
        <v>14495</v>
      </c>
      <c r="I426" s="650">
        <f t="shared" si="274"/>
        <v>24959</v>
      </c>
      <c r="J426" s="650">
        <f t="shared" si="274"/>
        <v>0</v>
      </c>
      <c r="K426" s="650">
        <f t="shared" si="274"/>
        <v>0</v>
      </c>
      <c r="L426" s="650">
        <f t="shared" si="274"/>
        <v>24959</v>
      </c>
      <c r="M426" s="650">
        <f t="shared" si="274"/>
        <v>39454</v>
      </c>
      <c r="N426" s="650">
        <f t="shared" si="274"/>
        <v>0</v>
      </c>
      <c r="O426" s="650">
        <f t="shared" si="274"/>
        <v>39454</v>
      </c>
    </row>
    <row r="427" spans="2:15" hidden="1" x14ac:dyDescent="0.25">
      <c r="B427" s="615" t="s">
        <v>664</v>
      </c>
      <c r="C427" s="650">
        <f t="shared" ref="C427:O427" si="275">C409+C410</f>
        <v>-10</v>
      </c>
      <c r="D427" s="650">
        <f t="shared" si="275"/>
        <v>0</v>
      </c>
      <c r="E427" s="650">
        <f t="shared" si="275"/>
        <v>10</v>
      </c>
      <c r="F427" s="650">
        <f t="shared" si="275"/>
        <v>0</v>
      </c>
      <c r="G427" s="650">
        <f t="shared" si="275"/>
        <v>0</v>
      </c>
      <c r="H427" s="650">
        <f t="shared" si="275"/>
        <v>0</v>
      </c>
      <c r="I427" s="650">
        <f t="shared" si="275"/>
        <v>0</v>
      </c>
      <c r="J427" s="650">
        <f t="shared" si="275"/>
        <v>0</v>
      </c>
      <c r="K427" s="650">
        <f t="shared" si="275"/>
        <v>0</v>
      </c>
      <c r="L427" s="650">
        <f t="shared" si="275"/>
        <v>0</v>
      </c>
      <c r="M427" s="650">
        <f t="shared" si="275"/>
        <v>0</v>
      </c>
      <c r="N427" s="650">
        <f t="shared" si="275"/>
        <v>0</v>
      </c>
      <c r="O427" s="650">
        <f t="shared" si="275"/>
        <v>0</v>
      </c>
    </row>
    <row r="428" spans="2:15" hidden="1" x14ac:dyDescent="0.25"/>
    <row r="429" spans="2:15" hidden="1" x14ac:dyDescent="0.25">
      <c r="C429" s="650">
        <f t="shared" ref="C429:O431" si="276">+C419-C425</f>
        <v>6453297</v>
      </c>
      <c r="D429" s="650">
        <f t="shared" si="276"/>
        <v>1168186</v>
      </c>
      <c r="E429" s="650">
        <f t="shared" si="276"/>
        <v>3436106</v>
      </c>
      <c r="F429" s="650">
        <f t="shared" si="276"/>
        <v>11588</v>
      </c>
      <c r="G429" s="650">
        <f t="shared" si="276"/>
        <v>34805</v>
      </c>
      <c r="H429" s="650">
        <f t="shared" si="276"/>
        <v>11103982</v>
      </c>
      <c r="I429" s="650">
        <f t="shared" si="276"/>
        <v>186135</v>
      </c>
      <c r="J429" s="650">
        <f t="shared" si="276"/>
        <v>8352</v>
      </c>
      <c r="K429" s="650">
        <f t="shared" si="276"/>
        <v>0</v>
      </c>
      <c r="L429" s="650">
        <f t="shared" si="276"/>
        <v>194487</v>
      </c>
      <c r="M429" s="650">
        <f t="shared" si="276"/>
        <v>11298469</v>
      </c>
      <c r="N429" s="650">
        <f t="shared" si="276"/>
        <v>0</v>
      </c>
      <c r="O429" s="650">
        <f t="shared" si="276"/>
        <v>11298469</v>
      </c>
    </row>
    <row r="430" spans="2:15" hidden="1" x14ac:dyDescent="0.25">
      <c r="C430" s="650">
        <f t="shared" si="276"/>
        <v>1420438</v>
      </c>
      <c r="D430" s="650">
        <f t="shared" si="276"/>
        <v>246107</v>
      </c>
      <c r="E430" s="650">
        <f t="shared" si="276"/>
        <v>984185</v>
      </c>
      <c r="F430" s="650">
        <f t="shared" si="276"/>
        <v>0</v>
      </c>
      <c r="G430" s="650">
        <f t="shared" si="276"/>
        <v>47000</v>
      </c>
      <c r="H430" s="650">
        <f t="shared" si="276"/>
        <v>2697730</v>
      </c>
      <c r="I430" s="650">
        <f t="shared" si="276"/>
        <v>101458</v>
      </c>
      <c r="J430" s="650">
        <f t="shared" si="276"/>
        <v>677</v>
      </c>
      <c r="K430" s="650">
        <f t="shared" si="276"/>
        <v>0</v>
      </c>
      <c r="L430" s="650">
        <f t="shared" si="276"/>
        <v>102135</v>
      </c>
      <c r="M430" s="650">
        <f t="shared" si="276"/>
        <v>2799865</v>
      </c>
      <c r="N430" s="650">
        <f t="shared" si="276"/>
        <v>0</v>
      </c>
      <c r="O430" s="650">
        <f t="shared" si="276"/>
        <v>2799865</v>
      </c>
    </row>
    <row r="431" spans="2:15" hidden="1" x14ac:dyDescent="0.25">
      <c r="C431" s="650">
        <f t="shared" si="276"/>
        <v>682953</v>
      </c>
      <c r="D431" s="650">
        <f t="shared" si="276"/>
        <v>131987</v>
      </c>
      <c r="E431" s="650">
        <f t="shared" si="276"/>
        <v>112473</v>
      </c>
      <c r="F431" s="650">
        <f t="shared" si="276"/>
        <v>0</v>
      </c>
      <c r="G431" s="650">
        <f t="shared" si="276"/>
        <v>0</v>
      </c>
      <c r="H431" s="650">
        <f t="shared" si="276"/>
        <v>927413</v>
      </c>
      <c r="I431" s="650">
        <f t="shared" si="276"/>
        <v>59566</v>
      </c>
      <c r="J431" s="650">
        <f t="shared" si="276"/>
        <v>2351</v>
      </c>
      <c r="K431" s="650">
        <f t="shared" si="276"/>
        <v>0</v>
      </c>
      <c r="L431" s="650">
        <f t="shared" si="276"/>
        <v>61917</v>
      </c>
      <c r="M431" s="650">
        <f t="shared" si="276"/>
        <v>989330</v>
      </c>
      <c r="N431" s="650">
        <f t="shared" si="276"/>
        <v>0</v>
      </c>
      <c r="O431" s="650">
        <f t="shared" si="276"/>
        <v>989330</v>
      </c>
    </row>
    <row r="432" spans="2:15" hidden="1" x14ac:dyDescent="0.25"/>
    <row r="433" ht="10.5" hidden="1" customHeight="1" x14ac:dyDescent="0.25"/>
    <row r="434" ht="16.5" thickTop="1" x14ac:dyDescent="0.25"/>
  </sheetData>
  <mergeCells count="1">
    <mergeCell ref="A1:O1"/>
  </mergeCells>
  <pageMargins left="0.70866141732283472" right="0.70866141732283472" top="0.74803149606299213" bottom="0.74803149606299213" header="0.31496062992125984" footer="0.31496062992125984"/>
  <pageSetup paperSize="9" scale="55" orientation="landscape" r:id="rId1"/>
  <headerFooter>
    <oddHeader>&amp;R&amp;"Times New Roman CE,Félkövér" 8. melléklet a 12/2021.(II.25.) önkormányzati rendelethez&amp;"Times New Roman CE,Normál"
&amp;"Times New Roman CE,Dőlt"8. melléklet
az 5/2020.(II.17.) önkormányzati rendelethez</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S182"/>
  <sheetViews>
    <sheetView view="pageBreakPreview" topLeftCell="A4" zoomScale="60" zoomScaleNormal="80" workbookViewId="0">
      <pane xSplit="2" ySplit="9" topLeftCell="C106" activePane="bottomRight" state="frozen"/>
      <selection activeCell="F12" sqref="F12"/>
      <selection pane="topRight" activeCell="F12" sqref="F12"/>
      <selection pane="bottomLeft" activeCell="F12" sqref="F12"/>
      <selection pane="bottomRight" activeCell="P43" sqref="P43"/>
    </sheetView>
  </sheetViews>
  <sheetFormatPr defaultRowHeight="15.75" x14ac:dyDescent="0.25"/>
  <cols>
    <col min="1" max="1" width="5" style="351" customWidth="1"/>
    <col min="2" max="2" width="40.875" style="351" customWidth="1"/>
    <col min="3" max="3" width="10.125" style="351" customWidth="1"/>
    <col min="4" max="4" width="10.75" style="351" customWidth="1"/>
    <col min="5" max="5" width="11.75" style="351" customWidth="1"/>
    <col min="6" max="6" width="9.625" style="351" bestFit="1" customWidth="1"/>
    <col min="7" max="7" width="11.125" style="351" customWidth="1"/>
    <col min="8" max="8" width="12.25" style="351" customWidth="1"/>
    <col min="9" max="9" width="11.625" style="351" customWidth="1"/>
    <col min="10" max="10" width="9.75" style="351" customWidth="1"/>
    <col min="11" max="11" width="9.875" style="351" customWidth="1"/>
    <col min="12" max="12" width="12" style="351" customWidth="1"/>
    <col min="13" max="13" width="9.875" style="351" customWidth="1"/>
    <col min="14" max="15" width="10.375" style="351" customWidth="1"/>
    <col min="16" max="16" width="16.25" style="351" customWidth="1"/>
    <col min="17" max="17" width="9.875" style="351" hidden="1" customWidth="1"/>
    <col min="18" max="18" width="9.75" style="351" hidden="1" customWidth="1"/>
    <col min="19" max="19" width="10.875" style="351" hidden="1" customWidth="1"/>
    <col min="20" max="256" width="8.75" style="351"/>
    <col min="257" max="257" width="5" style="351" customWidth="1"/>
    <col min="258" max="258" width="40.875" style="351" customWidth="1"/>
    <col min="259" max="259" width="10.125" style="351" customWidth="1"/>
    <col min="260" max="260" width="10.75" style="351" customWidth="1"/>
    <col min="261" max="261" width="10" style="351" customWidth="1"/>
    <col min="262" max="262" width="9.625" style="351" bestFit="1" customWidth="1"/>
    <col min="263" max="263" width="10.75" style="351" customWidth="1"/>
    <col min="264" max="264" width="12.25" style="351" customWidth="1"/>
    <col min="265" max="265" width="11.625" style="351" customWidth="1"/>
    <col min="266" max="266" width="9.75" style="351" customWidth="1"/>
    <col min="267" max="267" width="9.875" style="351" customWidth="1"/>
    <col min="268" max="268" width="12" style="351" customWidth="1"/>
    <col min="269" max="269" width="9.875" style="351" customWidth="1"/>
    <col min="270" max="271" width="10.375" style="351" customWidth="1"/>
    <col min="272" max="272" width="16.25" style="351" customWidth="1"/>
    <col min="273" max="273" width="9.875" style="351" bestFit="1" customWidth="1"/>
    <col min="274" max="512" width="8.75" style="351"/>
    <col min="513" max="513" width="5" style="351" customWidth="1"/>
    <col min="514" max="514" width="40.875" style="351" customWidth="1"/>
    <col min="515" max="515" width="10.125" style="351" customWidth="1"/>
    <col min="516" max="516" width="10.75" style="351" customWidth="1"/>
    <col min="517" max="517" width="10" style="351" customWidth="1"/>
    <col min="518" max="518" width="9.625" style="351" bestFit="1" customWidth="1"/>
    <col min="519" max="519" width="10.75" style="351" customWidth="1"/>
    <col min="520" max="520" width="12.25" style="351" customWidth="1"/>
    <col min="521" max="521" width="11.625" style="351" customWidth="1"/>
    <col min="522" max="522" width="9.75" style="351" customWidth="1"/>
    <col min="523" max="523" width="9.875" style="351" customWidth="1"/>
    <col min="524" max="524" width="12" style="351" customWidth="1"/>
    <col min="525" max="525" width="9.875" style="351" customWidth="1"/>
    <col min="526" max="527" width="10.375" style="351" customWidth="1"/>
    <col min="528" max="528" width="16.25" style="351" customWidth="1"/>
    <col min="529" max="529" width="9.875" style="351" bestFit="1" customWidth="1"/>
    <col min="530" max="768" width="8.75" style="351"/>
    <col min="769" max="769" width="5" style="351" customWidth="1"/>
    <col min="770" max="770" width="40.875" style="351" customWidth="1"/>
    <col min="771" max="771" width="10.125" style="351" customWidth="1"/>
    <col min="772" max="772" width="10.75" style="351" customWidth="1"/>
    <col min="773" max="773" width="10" style="351" customWidth="1"/>
    <col min="774" max="774" width="9.625" style="351" bestFit="1" customWidth="1"/>
    <col min="775" max="775" width="10.75" style="351" customWidth="1"/>
    <col min="776" max="776" width="12.25" style="351" customWidth="1"/>
    <col min="777" max="777" width="11.625" style="351" customWidth="1"/>
    <col min="778" max="778" width="9.75" style="351" customWidth="1"/>
    <col min="779" max="779" width="9.875" style="351" customWidth="1"/>
    <col min="780" max="780" width="12" style="351" customWidth="1"/>
    <col min="781" max="781" width="9.875" style="351" customWidth="1"/>
    <col min="782" max="783" width="10.375" style="351" customWidth="1"/>
    <col min="784" max="784" width="16.25" style="351" customWidth="1"/>
    <col min="785" max="785" width="9.875" style="351" bestFit="1" customWidth="1"/>
    <col min="786" max="1024" width="8.75" style="351"/>
    <col min="1025" max="1025" width="5" style="351" customWidth="1"/>
    <col min="1026" max="1026" width="40.875" style="351" customWidth="1"/>
    <col min="1027" max="1027" width="10.125" style="351" customWidth="1"/>
    <col min="1028" max="1028" width="10.75" style="351" customWidth="1"/>
    <col min="1029" max="1029" width="10" style="351" customWidth="1"/>
    <col min="1030" max="1030" width="9.625" style="351" bestFit="1" customWidth="1"/>
    <col min="1031" max="1031" width="10.75" style="351" customWidth="1"/>
    <col min="1032" max="1032" width="12.25" style="351" customWidth="1"/>
    <col min="1033" max="1033" width="11.625" style="351" customWidth="1"/>
    <col min="1034" max="1034" width="9.75" style="351" customWidth="1"/>
    <col min="1035" max="1035" width="9.875" style="351" customWidth="1"/>
    <col min="1036" max="1036" width="12" style="351" customWidth="1"/>
    <col min="1037" max="1037" width="9.875" style="351" customWidth="1"/>
    <col min="1038" max="1039" width="10.375" style="351" customWidth="1"/>
    <col min="1040" max="1040" width="16.25" style="351" customWidth="1"/>
    <col min="1041" max="1041" width="9.875" style="351" bestFit="1" customWidth="1"/>
    <col min="1042" max="1280" width="8.75" style="351"/>
    <col min="1281" max="1281" width="5" style="351" customWidth="1"/>
    <col min="1282" max="1282" width="40.875" style="351" customWidth="1"/>
    <col min="1283" max="1283" width="10.125" style="351" customWidth="1"/>
    <col min="1284" max="1284" width="10.75" style="351" customWidth="1"/>
    <col min="1285" max="1285" width="10" style="351" customWidth="1"/>
    <col min="1286" max="1286" width="9.625" style="351" bestFit="1" customWidth="1"/>
    <col min="1287" max="1287" width="10.75" style="351" customWidth="1"/>
    <col min="1288" max="1288" width="12.25" style="351" customWidth="1"/>
    <col min="1289" max="1289" width="11.625" style="351" customWidth="1"/>
    <col min="1290" max="1290" width="9.75" style="351" customWidth="1"/>
    <col min="1291" max="1291" width="9.875" style="351" customWidth="1"/>
    <col min="1292" max="1292" width="12" style="351" customWidth="1"/>
    <col min="1293" max="1293" width="9.875" style="351" customWidth="1"/>
    <col min="1294" max="1295" width="10.375" style="351" customWidth="1"/>
    <col min="1296" max="1296" width="16.25" style="351" customWidth="1"/>
    <col min="1297" max="1297" width="9.875" style="351" bestFit="1" customWidth="1"/>
    <col min="1298" max="1536" width="8.75" style="351"/>
    <col min="1537" max="1537" width="5" style="351" customWidth="1"/>
    <col min="1538" max="1538" width="40.875" style="351" customWidth="1"/>
    <col min="1539" max="1539" width="10.125" style="351" customWidth="1"/>
    <col min="1540" max="1540" width="10.75" style="351" customWidth="1"/>
    <col min="1541" max="1541" width="10" style="351" customWidth="1"/>
    <col min="1542" max="1542" width="9.625" style="351" bestFit="1" customWidth="1"/>
    <col min="1543" max="1543" width="10.75" style="351" customWidth="1"/>
    <col min="1544" max="1544" width="12.25" style="351" customWidth="1"/>
    <col min="1545" max="1545" width="11.625" style="351" customWidth="1"/>
    <col min="1546" max="1546" width="9.75" style="351" customWidth="1"/>
    <col min="1547" max="1547" width="9.875" style="351" customWidth="1"/>
    <col min="1548" max="1548" width="12" style="351" customWidth="1"/>
    <col min="1549" max="1549" width="9.875" style="351" customWidth="1"/>
    <col min="1550" max="1551" width="10.375" style="351" customWidth="1"/>
    <col min="1552" max="1552" width="16.25" style="351" customWidth="1"/>
    <col min="1553" max="1553" width="9.875" style="351" bestFit="1" customWidth="1"/>
    <col min="1554" max="1792" width="8.75" style="351"/>
    <col min="1793" max="1793" width="5" style="351" customWidth="1"/>
    <col min="1794" max="1794" width="40.875" style="351" customWidth="1"/>
    <col min="1795" max="1795" width="10.125" style="351" customWidth="1"/>
    <col min="1796" max="1796" width="10.75" style="351" customWidth="1"/>
    <col min="1797" max="1797" width="10" style="351" customWidth="1"/>
    <col min="1798" max="1798" width="9.625" style="351" bestFit="1" customWidth="1"/>
    <col min="1799" max="1799" width="10.75" style="351" customWidth="1"/>
    <col min="1800" max="1800" width="12.25" style="351" customWidth="1"/>
    <col min="1801" max="1801" width="11.625" style="351" customWidth="1"/>
    <col min="1802" max="1802" width="9.75" style="351" customWidth="1"/>
    <col min="1803" max="1803" width="9.875" style="351" customWidth="1"/>
    <col min="1804" max="1804" width="12" style="351" customWidth="1"/>
    <col min="1805" max="1805" width="9.875" style="351" customWidth="1"/>
    <col min="1806" max="1807" width="10.375" style="351" customWidth="1"/>
    <col min="1808" max="1808" width="16.25" style="351" customWidth="1"/>
    <col min="1809" max="1809" width="9.875" style="351" bestFit="1" customWidth="1"/>
    <col min="1810" max="2048" width="8.75" style="351"/>
    <col min="2049" max="2049" width="5" style="351" customWidth="1"/>
    <col min="2050" max="2050" width="40.875" style="351" customWidth="1"/>
    <col min="2051" max="2051" width="10.125" style="351" customWidth="1"/>
    <col min="2052" max="2052" width="10.75" style="351" customWidth="1"/>
    <col min="2053" max="2053" width="10" style="351" customWidth="1"/>
    <col min="2054" max="2054" width="9.625" style="351" bestFit="1" customWidth="1"/>
    <col min="2055" max="2055" width="10.75" style="351" customWidth="1"/>
    <col min="2056" max="2056" width="12.25" style="351" customWidth="1"/>
    <col min="2057" max="2057" width="11.625" style="351" customWidth="1"/>
    <col min="2058" max="2058" width="9.75" style="351" customWidth="1"/>
    <col min="2059" max="2059" width="9.875" style="351" customWidth="1"/>
    <col min="2060" max="2060" width="12" style="351" customWidth="1"/>
    <col min="2061" max="2061" width="9.875" style="351" customWidth="1"/>
    <col min="2062" max="2063" width="10.375" style="351" customWidth="1"/>
    <col min="2064" max="2064" width="16.25" style="351" customWidth="1"/>
    <col min="2065" max="2065" width="9.875" style="351" bestFit="1" customWidth="1"/>
    <col min="2066" max="2304" width="8.75" style="351"/>
    <col min="2305" max="2305" width="5" style="351" customWidth="1"/>
    <col min="2306" max="2306" width="40.875" style="351" customWidth="1"/>
    <col min="2307" max="2307" width="10.125" style="351" customWidth="1"/>
    <col min="2308" max="2308" width="10.75" style="351" customWidth="1"/>
    <col min="2309" max="2309" width="10" style="351" customWidth="1"/>
    <col min="2310" max="2310" width="9.625" style="351" bestFit="1" customWidth="1"/>
    <col min="2311" max="2311" width="10.75" style="351" customWidth="1"/>
    <col min="2312" max="2312" width="12.25" style="351" customWidth="1"/>
    <col min="2313" max="2313" width="11.625" style="351" customWidth="1"/>
    <col min="2314" max="2314" width="9.75" style="351" customWidth="1"/>
    <col min="2315" max="2315" width="9.875" style="351" customWidth="1"/>
    <col min="2316" max="2316" width="12" style="351" customWidth="1"/>
    <col min="2317" max="2317" width="9.875" style="351" customWidth="1"/>
    <col min="2318" max="2319" width="10.375" style="351" customWidth="1"/>
    <col min="2320" max="2320" width="16.25" style="351" customWidth="1"/>
    <col min="2321" max="2321" width="9.875" style="351" bestFit="1" customWidth="1"/>
    <col min="2322" max="2560" width="8.75" style="351"/>
    <col min="2561" max="2561" width="5" style="351" customWidth="1"/>
    <col min="2562" max="2562" width="40.875" style="351" customWidth="1"/>
    <col min="2563" max="2563" width="10.125" style="351" customWidth="1"/>
    <col min="2564" max="2564" width="10.75" style="351" customWidth="1"/>
    <col min="2565" max="2565" width="10" style="351" customWidth="1"/>
    <col min="2566" max="2566" width="9.625" style="351" bestFit="1" customWidth="1"/>
    <col min="2567" max="2567" width="10.75" style="351" customWidth="1"/>
    <col min="2568" max="2568" width="12.25" style="351" customWidth="1"/>
    <col min="2569" max="2569" width="11.625" style="351" customWidth="1"/>
    <col min="2570" max="2570" width="9.75" style="351" customWidth="1"/>
    <col min="2571" max="2571" width="9.875" style="351" customWidth="1"/>
    <col min="2572" max="2572" width="12" style="351" customWidth="1"/>
    <col min="2573" max="2573" width="9.875" style="351" customWidth="1"/>
    <col min="2574" max="2575" width="10.375" style="351" customWidth="1"/>
    <col min="2576" max="2576" width="16.25" style="351" customWidth="1"/>
    <col min="2577" max="2577" width="9.875" style="351" bestFit="1" customWidth="1"/>
    <col min="2578" max="2816" width="8.75" style="351"/>
    <col min="2817" max="2817" width="5" style="351" customWidth="1"/>
    <col min="2818" max="2818" width="40.875" style="351" customWidth="1"/>
    <col min="2819" max="2819" width="10.125" style="351" customWidth="1"/>
    <col min="2820" max="2820" width="10.75" style="351" customWidth="1"/>
    <col min="2821" max="2821" width="10" style="351" customWidth="1"/>
    <col min="2822" max="2822" width="9.625" style="351" bestFit="1" customWidth="1"/>
    <col min="2823" max="2823" width="10.75" style="351" customWidth="1"/>
    <col min="2824" max="2824" width="12.25" style="351" customWidth="1"/>
    <col min="2825" max="2825" width="11.625" style="351" customWidth="1"/>
    <col min="2826" max="2826" width="9.75" style="351" customWidth="1"/>
    <col min="2827" max="2827" width="9.875" style="351" customWidth="1"/>
    <col min="2828" max="2828" width="12" style="351" customWidth="1"/>
    <col min="2829" max="2829" width="9.875" style="351" customWidth="1"/>
    <col min="2830" max="2831" width="10.375" style="351" customWidth="1"/>
    <col min="2832" max="2832" width="16.25" style="351" customWidth="1"/>
    <col min="2833" max="2833" width="9.875" style="351" bestFit="1" customWidth="1"/>
    <col min="2834" max="3072" width="8.75" style="351"/>
    <col min="3073" max="3073" width="5" style="351" customWidth="1"/>
    <col min="3074" max="3074" width="40.875" style="351" customWidth="1"/>
    <col min="3075" max="3075" width="10.125" style="351" customWidth="1"/>
    <col min="3076" max="3076" width="10.75" style="351" customWidth="1"/>
    <col min="3077" max="3077" width="10" style="351" customWidth="1"/>
    <col min="3078" max="3078" width="9.625" style="351" bestFit="1" customWidth="1"/>
    <col min="3079" max="3079" width="10.75" style="351" customWidth="1"/>
    <col min="3080" max="3080" width="12.25" style="351" customWidth="1"/>
    <col min="3081" max="3081" width="11.625" style="351" customWidth="1"/>
    <col min="3082" max="3082" width="9.75" style="351" customWidth="1"/>
    <col min="3083" max="3083" width="9.875" style="351" customWidth="1"/>
    <col min="3084" max="3084" width="12" style="351" customWidth="1"/>
    <col min="3085" max="3085" width="9.875" style="351" customWidth="1"/>
    <col min="3086" max="3087" width="10.375" style="351" customWidth="1"/>
    <col min="3088" max="3088" width="16.25" style="351" customWidth="1"/>
    <col min="3089" max="3089" width="9.875" style="351" bestFit="1" customWidth="1"/>
    <col min="3090" max="3328" width="8.75" style="351"/>
    <col min="3329" max="3329" width="5" style="351" customWidth="1"/>
    <col min="3330" max="3330" width="40.875" style="351" customWidth="1"/>
    <col min="3331" max="3331" width="10.125" style="351" customWidth="1"/>
    <col min="3332" max="3332" width="10.75" style="351" customWidth="1"/>
    <col min="3333" max="3333" width="10" style="351" customWidth="1"/>
    <col min="3334" max="3334" width="9.625" style="351" bestFit="1" customWidth="1"/>
    <col min="3335" max="3335" width="10.75" style="351" customWidth="1"/>
    <col min="3336" max="3336" width="12.25" style="351" customWidth="1"/>
    <col min="3337" max="3337" width="11.625" style="351" customWidth="1"/>
    <col min="3338" max="3338" width="9.75" style="351" customWidth="1"/>
    <col min="3339" max="3339" width="9.875" style="351" customWidth="1"/>
    <col min="3340" max="3340" width="12" style="351" customWidth="1"/>
    <col min="3341" max="3341" width="9.875" style="351" customWidth="1"/>
    <col min="3342" max="3343" width="10.375" style="351" customWidth="1"/>
    <col min="3344" max="3344" width="16.25" style="351" customWidth="1"/>
    <col min="3345" max="3345" width="9.875" style="351" bestFit="1" customWidth="1"/>
    <col min="3346" max="3584" width="8.75" style="351"/>
    <col min="3585" max="3585" width="5" style="351" customWidth="1"/>
    <col min="3586" max="3586" width="40.875" style="351" customWidth="1"/>
    <col min="3587" max="3587" width="10.125" style="351" customWidth="1"/>
    <col min="3588" max="3588" width="10.75" style="351" customWidth="1"/>
    <col min="3589" max="3589" width="10" style="351" customWidth="1"/>
    <col min="3590" max="3590" width="9.625" style="351" bestFit="1" customWidth="1"/>
    <col min="3591" max="3591" width="10.75" style="351" customWidth="1"/>
    <col min="3592" max="3592" width="12.25" style="351" customWidth="1"/>
    <col min="3593" max="3593" width="11.625" style="351" customWidth="1"/>
    <col min="3594" max="3594" width="9.75" style="351" customWidth="1"/>
    <col min="3595" max="3595" width="9.875" style="351" customWidth="1"/>
    <col min="3596" max="3596" width="12" style="351" customWidth="1"/>
    <col min="3597" max="3597" width="9.875" style="351" customWidth="1"/>
    <col min="3598" max="3599" width="10.375" style="351" customWidth="1"/>
    <col min="3600" max="3600" width="16.25" style="351" customWidth="1"/>
    <col min="3601" max="3601" width="9.875" style="351" bestFit="1" customWidth="1"/>
    <col min="3602" max="3840" width="8.75" style="351"/>
    <col min="3841" max="3841" width="5" style="351" customWidth="1"/>
    <col min="3842" max="3842" width="40.875" style="351" customWidth="1"/>
    <col min="3843" max="3843" width="10.125" style="351" customWidth="1"/>
    <col min="3844" max="3844" width="10.75" style="351" customWidth="1"/>
    <col min="3845" max="3845" width="10" style="351" customWidth="1"/>
    <col min="3846" max="3846" width="9.625" style="351" bestFit="1" customWidth="1"/>
    <col min="3847" max="3847" width="10.75" style="351" customWidth="1"/>
    <col min="3848" max="3848" width="12.25" style="351" customWidth="1"/>
    <col min="3849" max="3849" width="11.625" style="351" customWidth="1"/>
    <col min="3850" max="3850" width="9.75" style="351" customWidth="1"/>
    <col min="3851" max="3851" width="9.875" style="351" customWidth="1"/>
    <col min="3852" max="3852" width="12" style="351" customWidth="1"/>
    <col min="3853" max="3853" width="9.875" style="351" customWidth="1"/>
    <col min="3854" max="3855" width="10.375" style="351" customWidth="1"/>
    <col min="3856" max="3856" width="16.25" style="351" customWidth="1"/>
    <col min="3857" max="3857" width="9.875" style="351" bestFit="1" customWidth="1"/>
    <col min="3858" max="4096" width="8.75" style="351"/>
    <col min="4097" max="4097" width="5" style="351" customWidth="1"/>
    <col min="4098" max="4098" width="40.875" style="351" customWidth="1"/>
    <col min="4099" max="4099" width="10.125" style="351" customWidth="1"/>
    <col min="4100" max="4100" width="10.75" style="351" customWidth="1"/>
    <col min="4101" max="4101" width="10" style="351" customWidth="1"/>
    <col min="4102" max="4102" width="9.625" style="351" bestFit="1" customWidth="1"/>
    <col min="4103" max="4103" width="10.75" style="351" customWidth="1"/>
    <col min="4104" max="4104" width="12.25" style="351" customWidth="1"/>
    <col min="4105" max="4105" width="11.625" style="351" customWidth="1"/>
    <col min="4106" max="4106" width="9.75" style="351" customWidth="1"/>
    <col min="4107" max="4107" width="9.875" style="351" customWidth="1"/>
    <col min="4108" max="4108" width="12" style="351" customWidth="1"/>
    <col min="4109" max="4109" width="9.875" style="351" customWidth="1"/>
    <col min="4110" max="4111" width="10.375" style="351" customWidth="1"/>
    <col min="4112" max="4112" width="16.25" style="351" customWidth="1"/>
    <col min="4113" max="4113" width="9.875" style="351" bestFit="1" customWidth="1"/>
    <col min="4114" max="4352" width="8.75" style="351"/>
    <col min="4353" max="4353" width="5" style="351" customWidth="1"/>
    <col min="4354" max="4354" width="40.875" style="351" customWidth="1"/>
    <col min="4355" max="4355" width="10.125" style="351" customWidth="1"/>
    <col min="4356" max="4356" width="10.75" style="351" customWidth="1"/>
    <col min="4357" max="4357" width="10" style="351" customWidth="1"/>
    <col min="4358" max="4358" width="9.625" style="351" bestFit="1" customWidth="1"/>
    <col min="4359" max="4359" width="10.75" style="351" customWidth="1"/>
    <col min="4360" max="4360" width="12.25" style="351" customWidth="1"/>
    <col min="4361" max="4361" width="11.625" style="351" customWidth="1"/>
    <col min="4362" max="4362" width="9.75" style="351" customWidth="1"/>
    <col min="4363" max="4363" width="9.875" style="351" customWidth="1"/>
    <col min="4364" max="4364" width="12" style="351" customWidth="1"/>
    <col min="4365" max="4365" width="9.875" style="351" customWidth="1"/>
    <col min="4366" max="4367" width="10.375" style="351" customWidth="1"/>
    <col min="4368" max="4368" width="16.25" style="351" customWidth="1"/>
    <col min="4369" max="4369" width="9.875" style="351" bestFit="1" customWidth="1"/>
    <col min="4370" max="4608" width="8.75" style="351"/>
    <col min="4609" max="4609" width="5" style="351" customWidth="1"/>
    <col min="4610" max="4610" width="40.875" style="351" customWidth="1"/>
    <col min="4611" max="4611" width="10.125" style="351" customWidth="1"/>
    <col min="4612" max="4612" width="10.75" style="351" customWidth="1"/>
    <col min="4613" max="4613" width="10" style="351" customWidth="1"/>
    <col min="4614" max="4614" width="9.625" style="351" bestFit="1" customWidth="1"/>
    <col min="4615" max="4615" width="10.75" style="351" customWidth="1"/>
    <col min="4616" max="4616" width="12.25" style="351" customWidth="1"/>
    <col min="4617" max="4617" width="11.625" style="351" customWidth="1"/>
    <col min="4618" max="4618" width="9.75" style="351" customWidth="1"/>
    <col min="4619" max="4619" width="9.875" style="351" customWidth="1"/>
    <col min="4620" max="4620" width="12" style="351" customWidth="1"/>
    <col min="4621" max="4621" width="9.875" style="351" customWidth="1"/>
    <col min="4622" max="4623" width="10.375" style="351" customWidth="1"/>
    <col min="4624" max="4624" width="16.25" style="351" customWidth="1"/>
    <col min="4625" max="4625" width="9.875" style="351" bestFit="1" customWidth="1"/>
    <col min="4626" max="4864" width="8.75" style="351"/>
    <col min="4865" max="4865" width="5" style="351" customWidth="1"/>
    <col min="4866" max="4866" width="40.875" style="351" customWidth="1"/>
    <col min="4867" max="4867" width="10.125" style="351" customWidth="1"/>
    <col min="4868" max="4868" width="10.75" style="351" customWidth="1"/>
    <col min="4869" max="4869" width="10" style="351" customWidth="1"/>
    <col min="4870" max="4870" width="9.625" style="351" bestFit="1" customWidth="1"/>
    <col min="4871" max="4871" width="10.75" style="351" customWidth="1"/>
    <col min="4872" max="4872" width="12.25" style="351" customWidth="1"/>
    <col min="4873" max="4873" width="11.625" style="351" customWidth="1"/>
    <col min="4874" max="4874" width="9.75" style="351" customWidth="1"/>
    <col min="4875" max="4875" width="9.875" style="351" customWidth="1"/>
    <col min="4876" max="4876" width="12" style="351" customWidth="1"/>
    <col min="4877" max="4877" width="9.875" style="351" customWidth="1"/>
    <col min="4878" max="4879" width="10.375" style="351" customWidth="1"/>
    <col min="4880" max="4880" width="16.25" style="351" customWidth="1"/>
    <col min="4881" max="4881" width="9.875" style="351" bestFit="1" customWidth="1"/>
    <col min="4882" max="5120" width="8.75" style="351"/>
    <col min="5121" max="5121" width="5" style="351" customWidth="1"/>
    <col min="5122" max="5122" width="40.875" style="351" customWidth="1"/>
    <col min="5123" max="5123" width="10.125" style="351" customWidth="1"/>
    <col min="5124" max="5124" width="10.75" style="351" customWidth="1"/>
    <col min="5125" max="5125" width="10" style="351" customWidth="1"/>
    <col min="5126" max="5126" width="9.625" style="351" bestFit="1" customWidth="1"/>
    <col min="5127" max="5127" width="10.75" style="351" customWidth="1"/>
    <col min="5128" max="5128" width="12.25" style="351" customWidth="1"/>
    <col min="5129" max="5129" width="11.625" style="351" customWidth="1"/>
    <col min="5130" max="5130" width="9.75" style="351" customWidth="1"/>
    <col min="5131" max="5131" width="9.875" style="351" customWidth="1"/>
    <col min="5132" max="5132" width="12" style="351" customWidth="1"/>
    <col min="5133" max="5133" width="9.875" style="351" customWidth="1"/>
    <col min="5134" max="5135" width="10.375" style="351" customWidth="1"/>
    <col min="5136" max="5136" width="16.25" style="351" customWidth="1"/>
    <col min="5137" max="5137" width="9.875" style="351" bestFit="1" customWidth="1"/>
    <col min="5138" max="5376" width="8.75" style="351"/>
    <col min="5377" max="5377" width="5" style="351" customWidth="1"/>
    <col min="5378" max="5378" width="40.875" style="351" customWidth="1"/>
    <col min="5379" max="5379" width="10.125" style="351" customWidth="1"/>
    <col min="5380" max="5380" width="10.75" style="351" customWidth="1"/>
    <col min="5381" max="5381" width="10" style="351" customWidth="1"/>
    <col min="5382" max="5382" width="9.625" style="351" bestFit="1" customWidth="1"/>
    <col min="5383" max="5383" width="10.75" style="351" customWidth="1"/>
    <col min="5384" max="5384" width="12.25" style="351" customWidth="1"/>
    <col min="5385" max="5385" width="11.625" style="351" customWidth="1"/>
    <col min="5386" max="5386" width="9.75" style="351" customWidth="1"/>
    <col min="5387" max="5387" width="9.875" style="351" customWidth="1"/>
    <col min="5388" max="5388" width="12" style="351" customWidth="1"/>
    <col min="5389" max="5389" width="9.875" style="351" customWidth="1"/>
    <col min="5390" max="5391" width="10.375" style="351" customWidth="1"/>
    <col min="5392" max="5392" width="16.25" style="351" customWidth="1"/>
    <col min="5393" max="5393" width="9.875" style="351" bestFit="1" customWidth="1"/>
    <col min="5394" max="5632" width="8.75" style="351"/>
    <col min="5633" max="5633" width="5" style="351" customWidth="1"/>
    <col min="5634" max="5634" width="40.875" style="351" customWidth="1"/>
    <col min="5635" max="5635" width="10.125" style="351" customWidth="1"/>
    <col min="5636" max="5636" width="10.75" style="351" customWidth="1"/>
    <col min="5637" max="5637" width="10" style="351" customWidth="1"/>
    <col min="5638" max="5638" width="9.625" style="351" bestFit="1" customWidth="1"/>
    <col min="5639" max="5639" width="10.75" style="351" customWidth="1"/>
    <col min="5640" max="5640" width="12.25" style="351" customWidth="1"/>
    <col min="5641" max="5641" width="11.625" style="351" customWidth="1"/>
    <col min="5642" max="5642" width="9.75" style="351" customWidth="1"/>
    <col min="5643" max="5643" width="9.875" style="351" customWidth="1"/>
    <col min="5644" max="5644" width="12" style="351" customWidth="1"/>
    <col min="5645" max="5645" width="9.875" style="351" customWidth="1"/>
    <col min="5646" max="5647" width="10.375" style="351" customWidth="1"/>
    <col min="5648" max="5648" width="16.25" style="351" customWidth="1"/>
    <col min="5649" max="5649" width="9.875" style="351" bestFit="1" customWidth="1"/>
    <col min="5650" max="5888" width="8.75" style="351"/>
    <col min="5889" max="5889" width="5" style="351" customWidth="1"/>
    <col min="5890" max="5890" width="40.875" style="351" customWidth="1"/>
    <col min="5891" max="5891" width="10.125" style="351" customWidth="1"/>
    <col min="5892" max="5892" width="10.75" style="351" customWidth="1"/>
    <col min="5893" max="5893" width="10" style="351" customWidth="1"/>
    <col min="5894" max="5894" width="9.625" style="351" bestFit="1" customWidth="1"/>
    <col min="5895" max="5895" width="10.75" style="351" customWidth="1"/>
    <col min="5896" max="5896" width="12.25" style="351" customWidth="1"/>
    <col min="5897" max="5897" width="11.625" style="351" customWidth="1"/>
    <col min="5898" max="5898" width="9.75" style="351" customWidth="1"/>
    <col min="5899" max="5899" width="9.875" style="351" customWidth="1"/>
    <col min="5900" max="5900" width="12" style="351" customWidth="1"/>
    <col min="5901" max="5901" width="9.875" style="351" customWidth="1"/>
    <col min="5902" max="5903" width="10.375" style="351" customWidth="1"/>
    <col min="5904" max="5904" width="16.25" style="351" customWidth="1"/>
    <col min="5905" max="5905" width="9.875" style="351" bestFit="1" customWidth="1"/>
    <col min="5906" max="6144" width="8.75" style="351"/>
    <col min="6145" max="6145" width="5" style="351" customWidth="1"/>
    <col min="6146" max="6146" width="40.875" style="351" customWidth="1"/>
    <col min="6147" max="6147" width="10.125" style="351" customWidth="1"/>
    <col min="6148" max="6148" width="10.75" style="351" customWidth="1"/>
    <col min="6149" max="6149" width="10" style="351" customWidth="1"/>
    <col min="6150" max="6150" width="9.625" style="351" bestFit="1" customWidth="1"/>
    <col min="6151" max="6151" width="10.75" style="351" customWidth="1"/>
    <col min="6152" max="6152" width="12.25" style="351" customWidth="1"/>
    <col min="6153" max="6153" width="11.625" style="351" customWidth="1"/>
    <col min="6154" max="6154" width="9.75" style="351" customWidth="1"/>
    <col min="6155" max="6155" width="9.875" style="351" customWidth="1"/>
    <col min="6156" max="6156" width="12" style="351" customWidth="1"/>
    <col min="6157" max="6157" width="9.875" style="351" customWidth="1"/>
    <col min="6158" max="6159" width="10.375" style="351" customWidth="1"/>
    <col min="6160" max="6160" width="16.25" style="351" customWidth="1"/>
    <col min="6161" max="6161" width="9.875" style="351" bestFit="1" customWidth="1"/>
    <col min="6162" max="6400" width="8.75" style="351"/>
    <col min="6401" max="6401" width="5" style="351" customWidth="1"/>
    <col min="6402" max="6402" width="40.875" style="351" customWidth="1"/>
    <col min="6403" max="6403" width="10.125" style="351" customWidth="1"/>
    <col min="6404" max="6404" width="10.75" style="351" customWidth="1"/>
    <col min="6405" max="6405" width="10" style="351" customWidth="1"/>
    <col min="6406" max="6406" width="9.625" style="351" bestFit="1" customWidth="1"/>
    <col min="6407" max="6407" width="10.75" style="351" customWidth="1"/>
    <col min="6408" max="6408" width="12.25" style="351" customWidth="1"/>
    <col min="6409" max="6409" width="11.625" style="351" customWidth="1"/>
    <col min="6410" max="6410" width="9.75" style="351" customWidth="1"/>
    <col min="6411" max="6411" width="9.875" style="351" customWidth="1"/>
    <col min="6412" max="6412" width="12" style="351" customWidth="1"/>
    <col min="6413" max="6413" width="9.875" style="351" customWidth="1"/>
    <col min="6414" max="6415" width="10.375" style="351" customWidth="1"/>
    <col min="6416" max="6416" width="16.25" style="351" customWidth="1"/>
    <col min="6417" max="6417" width="9.875" style="351" bestFit="1" customWidth="1"/>
    <col min="6418" max="6656" width="8.75" style="351"/>
    <col min="6657" max="6657" width="5" style="351" customWidth="1"/>
    <col min="6658" max="6658" width="40.875" style="351" customWidth="1"/>
    <col min="6659" max="6659" width="10.125" style="351" customWidth="1"/>
    <col min="6660" max="6660" width="10.75" style="351" customWidth="1"/>
    <col min="6661" max="6661" width="10" style="351" customWidth="1"/>
    <col min="6662" max="6662" width="9.625" style="351" bestFit="1" customWidth="1"/>
    <col min="6663" max="6663" width="10.75" style="351" customWidth="1"/>
    <col min="6664" max="6664" width="12.25" style="351" customWidth="1"/>
    <col min="6665" max="6665" width="11.625" style="351" customWidth="1"/>
    <col min="6666" max="6666" width="9.75" style="351" customWidth="1"/>
    <col min="6667" max="6667" width="9.875" style="351" customWidth="1"/>
    <col min="6668" max="6668" width="12" style="351" customWidth="1"/>
    <col min="6669" max="6669" width="9.875" style="351" customWidth="1"/>
    <col min="6670" max="6671" width="10.375" style="351" customWidth="1"/>
    <col min="6672" max="6672" width="16.25" style="351" customWidth="1"/>
    <col min="6673" max="6673" width="9.875" style="351" bestFit="1" customWidth="1"/>
    <col min="6674" max="6912" width="8.75" style="351"/>
    <col min="6913" max="6913" width="5" style="351" customWidth="1"/>
    <col min="6914" max="6914" width="40.875" style="351" customWidth="1"/>
    <col min="6915" max="6915" width="10.125" style="351" customWidth="1"/>
    <col min="6916" max="6916" width="10.75" style="351" customWidth="1"/>
    <col min="6917" max="6917" width="10" style="351" customWidth="1"/>
    <col min="6918" max="6918" width="9.625" style="351" bestFit="1" customWidth="1"/>
    <col min="6919" max="6919" width="10.75" style="351" customWidth="1"/>
    <col min="6920" max="6920" width="12.25" style="351" customWidth="1"/>
    <col min="6921" max="6921" width="11.625" style="351" customWidth="1"/>
    <col min="6922" max="6922" width="9.75" style="351" customWidth="1"/>
    <col min="6923" max="6923" width="9.875" style="351" customWidth="1"/>
    <col min="6924" max="6924" width="12" style="351" customWidth="1"/>
    <col min="6925" max="6925" width="9.875" style="351" customWidth="1"/>
    <col min="6926" max="6927" width="10.375" style="351" customWidth="1"/>
    <col min="6928" max="6928" width="16.25" style="351" customWidth="1"/>
    <col min="6929" max="6929" width="9.875" style="351" bestFit="1" customWidth="1"/>
    <col min="6930" max="7168" width="8.75" style="351"/>
    <col min="7169" max="7169" width="5" style="351" customWidth="1"/>
    <col min="7170" max="7170" width="40.875" style="351" customWidth="1"/>
    <col min="7171" max="7171" width="10.125" style="351" customWidth="1"/>
    <col min="7172" max="7172" width="10.75" style="351" customWidth="1"/>
    <col min="7173" max="7173" width="10" style="351" customWidth="1"/>
    <col min="7174" max="7174" width="9.625" style="351" bestFit="1" customWidth="1"/>
    <col min="7175" max="7175" width="10.75" style="351" customWidth="1"/>
    <col min="7176" max="7176" width="12.25" style="351" customWidth="1"/>
    <col min="7177" max="7177" width="11.625" style="351" customWidth="1"/>
    <col min="7178" max="7178" width="9.75" style="351" customWidth="1"/>
    <col min="7179" max="7179" width="9.875" style="351" customWidth="1"/>
    <col min="7180" max="7180" width="12" style="351" customWidth="1"/>
    <col min="7181" max="7181" width="9.875" style="351" customWidth="1"/>
    <col min="7182" max="7183" width="10.375" style="351" customWidth="1"/>
    <col min="7184" max="7184" width="16.25" style="351" customWidth="1"/>
    <col min="7185" max="7185" width="9.875" style="351" bestFit="1" customWidth="1"/>
    <col min="7186" max="7424" width="8.75" style="351"/>
    <col min="7425" max="7425" width="5" style="351" customWidth="1"/>
    <col min="7426" max="7426" width="40.875" style="351" customWidth="1"/>
    <col min="7427" max="7427" width="10.125" style="351" customWidth="1"/>
    <col min="7428" max="7428" width="10.75" style="351" customWidth="1"/>
    <col min="7429" max="7429" width="10" style="351" customWidth="1"/>
    <col min="7430" max="7430" width="9.625" style="351" bestFit="1" customWidth="1"/>
    <col min="7431" max="7431" width="10.75" style="351" customWidth="1"/>
    <col min="7432" max="7432" width="12.25" style="351" customWidth="1"/>
    <col min="7433" max="7433" width="11.625" style="351" customWidth="1"/>
    <col min="7434" max="7434" width="9.75" style="351" customWidth="1"/>
    <col min="7435" max="7435" width="9.875" style="351" customWidth="1"/>
    <col min="7436" max="7436" width="12" style="351" customWidth="1"/>
    <col min="7437" max="7437" width="9.875" style="351" customWidth="1"/>
    <col min="7438" max="7439" width="10.375" style="351" customWidth="1"/>
    <col min="7440" max="7440" width="16.25" style="351" customWidth="1"/>
    <col min="7441" max="7441" width="9.875" style="351" bestFit="1" customWidth="1"/>
    <col min="7442" max="7680" width="8.75" style="351"/>
    <col min="7681" max="7681" width="5" style="351" customWidth="1"/>
    <col min="7682" max="7682" width="40.875" style="351" customWidth="1"/>
    <col min="7683" max="7683" width="10.125" style="351" customWidth="1"/>
    <col min="7684" max="7684" width="10.75" style="351" customWidth="1"/>
    <col min="7685" max="7685" width="10" style="351" customWidth="1"/>
    <col min="7686" max="7686" width="9.625" style="351" bestFit="1" customWidth="1"/>
    <col min="7687" max="7687" width="10.75" style="351" customWidth="1"/>
    <col min="7688" max="7688" width="12.25" style="351" customWidth="1"/>
    <col min="7689" max="7689" width="11.625" style="351" customWidth="1"/>
    <col min="7690" max="7690" width="9.75" style="351" customWidth="1"/>
    <col min="7691" max="7691" width="9.875" style="351" customWidth="1"/>
    <col min="7692" max="7692" width="12" style="351" customWidth="1"/>
    <col min="7693" max="7693" width="9.875" style="351" customWidth="1"/>
    <col min="7694" max="7695" width="10.375" style="351" customWidth="1"/>
    <col min="7696" max="7696" width="16.25" style="351" customWidth="1"/>
    <col min="7697" max="7697" width="9.875" style="351" bestFit="1" customWidth="1"/>
    <col min="7698" max="7936" width="8.75" style="351"/>
    <col min="7937" max="7937" width="5" style="351" customWidth="1"/>
    <col min="7938" max="7938" width="40.875" style="351" customWidth="1"/>
    <col min="7939" max="7939" width="10.125" style="351" customWidth="1"/>
    <col min="7940" max="7940" width="10.75" style="351" customWidth="1"/>
    <col min="7941" max="7941" width="10" style="351" customWidth="1"/>
    <col min="7942" max="7942" width="9.625" style="351" bestFit="1" customWidth="1"/>
    <col min="7943" max="7943" width="10.75" style="351" customWidth="1"/>
    <col min="7944" max="7944" width="12.25" style="351" customWidth="1"/>
    <col min="7945" max="7945" width="11.625" style="351" customWidth="1"/>
    <col min="7946" max="7946" width="9.75" style="351" customWidth="1"/>
    <col min="7947" max="7947" width="9.875" style="351" customWidth="1"/>
    <col min="7948" max="7948" width="12" style="351" customWidth="1"/>
    <col min="7949" max="7949" width="9.875" style="351" customWidth="1"/>
    <col min="7950" max="7951" width="10.375" style="351" customWidth="1"/>
    <col min="7952" max="7952" width="16.25" style="351" customWidth="1"/>
    <col min="7953" max="7953" width="9.875" style="351" bestFit="1" customWidth="1"/>
    <col min="7954" max="8192" width="8.75" style="351"/>
    <col min="8193" max="8193" width="5" style="351" customWidth="1"/>
    <col min="8194" max="8194" width="40.875" style="351" customWidth="1"/>
    <col min="8195" max="8195" width="10.125" style="351" customWidth="1"/>
    <col min="8196" max="8196" width="10.75" style="351" customWidth="1"/>
    <col min="8197" max="8197" width="10" style="351" customWidth="1"/>
    <col min="8198" max="8198" width="9.625" style="351" bestFit="1" customWidth="1"/>
    <col min="8199" max="8199" width="10.75" style="351" customWidth="1"/>
    <col min="8200" max="8200" width="12.25" style="351" customWidth="1"/>
    <col min="8201" max="8201" width="11.625" style="351" customWidth="1"/>
    <col min="8202" max="8202" width="9.75" style="351" customWidth="1"/>
    <col min="8203" max="8203" width="9.875" style="351" customWidth="1"/>
    <col min="8204" max="8204" width="12" style="351" customWidth="1"/>
    <col min="8205" max="8205" width="9.875" style="351" customWidth="1"/>
    <col min="8206" max="8207" width="10.375" style="351" customWidth="1"/>
    <col min="8208" max="8208" width="16.25" style="351" customWidth="1"/>
    <col min="8209" max="8209" width="9.875" style="351" bestFit="1" customWidth="1"/>
    <col min="8210" max="8448" width="8.75" style="351"/>
    <col min="8449" max="8449" width="5" style="351" customWidth="1"/>
    <col min="8450" max="8450" width="40.875" style="351" customWidth="1"/>
    <col min="8451" max="8451" width="10.125" style="351" customWidth="1"/>
    <col min="8452" max="8452" width="10.75" style="351" customWidth="1"/>
    <col min="8453" max="8453" width="10" style="351" customWidth="1"/>
    <col min="8454" max="8454" width="9.625" style="351" bestFit="1" customWidth="1"/>
    <col min="8455" max="8455" width="10.75" style="351" customWidth="1"/>
    <col min="8456" max="8456" width="12.25" style="351" customWidth="1"/>
    <col min="8457" max="8457" width="11.625" style="351" customWidth="1"/>
    <col min="8458" max="8458" width="9.75" style="351" customWidth="1"/>
    <col min="8459" max="8459" width="9.875" style="351" customWidth="1"/>
    <col min="8460" max="8460" width="12" style="351" customWidth="1"/>
    <col min="8461" max="8461" width="9.875" style="351" customWidth="1"/>
    <col min="8462" max="8463" width="10.375" style="351" customWidth="1"/>
    <col min="8464" max="8464" width="16.25" style="351" customWidth="1"/>
    <col min="8465" max="8465" width="9.875" style="351" bestFit="1" customWidth="1"/>
    <col min="8466" max="8704" width="8.75" style="351"/>
    <col min="8705" max="8705" width="5" style="351" customWidth="1"/>
    <col min="8706" max="8706" width="40.875" style="351" customWidth="1"/>
    <col min="8707" max="8707" width="10.125" style="351" customWidth="1"/>
    <col min="8708" max="8708" width="10.75" style="351" customWidth="1"/>
    <col min="8709" max="8709" width="10" style="351" customWidth="1"/>
    <col min="8710" max="8710" width="9.625" style="351" bestFit="1" customWidth="1"/>
    <col min="8711" max="8711" width="10.75" style="351" customWidth="1"/>
    <col min="8712" max="8712" width="12.25" style="351" customWidth="1"/>
    <col min="8713" max="8713" width="11.625" style="351" customWidth="1"/>
    <col min="8714" max="8714" width="9.75" style="351" customWidth="1"/>
    <col min="8715" max="8715" width="9.875" style="351" customWidth="1"/>
    <col min="8716" max="8716" width="12" style="351" customWidth="1"/>
    <col min="8717" max="8717" width="9.875" style="351" customWidth="1"/>
    <col min="8718" max="8719" width="10.375" style="351" customWidth="1"/>
    <col min="8720" max="8720" width="16.25" style="351" customWidth="1"/>
    <col min="8721" max="8721" width="9.875" style="351" bestFit="1" customWidth="1"/>
    <col min="8722" max="8960" width="8.75" style="351"/>
    <col min="8961" max="8961" width="5" style="351" customWidth="1"/>
    <col min="8962" max="8962" width="40.875" style="351" customWidth="1"/>
    <col min="8963" max="8963" width="10.125" style="351" customWidth="1"/>
    <col min="8964" max="8964" width="10.75" style="351" customWidth="1"/>
    <col min="8965" max="8965" width="10" style="351" customWidth="1"/>
    <col min="8966" max="8966" width="9.625" style="351" bestFit="1" customWidth="1"/>
    <col min="8967" max="8967" width="10.75" style="351" customWidth="1"/>
    <col min="8968" max="8968" width="12.25" style="351" customWidth="1"/>
    <col min="8969" max="8969" width="11.625" style="351" customWidth="1"/>
    <col min="8970" max="8970" width="9.75" style="351" customWidth="1"/>
    <col min="8971" max="8971" width="9.875" style="351" customWidth="1"/>
    <col min="8972" max="8972" width="12" style="351" customWidth="1"/>
    <col min="8973" max="8973" width="9.875" style="351" customWidth="1"/>
    <col min="8974" max="8975" width="10.375" style="351" customWidth="1"/>
    <col min="8976" max="8976" width="16.25" style="351" customWidth="1"/>
    <col min="8977" max="8977" width="9.875" style="351" bestFit="1" customWidth="1"/>
    <col min="8978" max="9216" width="8.75" style="351"/>
    <col min="9217" max="9217" width="5" style="351" customWidth="1"/>
    <col min="9218" max="9218" width="40.875" style="351" customWidth="1"/>
    <col min="9219" max="9219" width="10.125" style="351" customWidth="1"/>
    <col min="9220" max="9220" width="10.75" style="351" customWidth="1"/>
    <col min="9221" max="9221" width="10" style="351" customWidth="1"/>
    <col min="9222" max="9222" width="9.625" style="351" bestFit="1" customWidth="1"/>
    <col min="9223" max="9223" width="10.75" style="351" customWidth="1"/>
    <col min="9224" max="9224" width="12.25" style="351" customWidth="1"/>
    <col min="9225" max="9225" width="11.625" style="351" customWidth="1"/>
    <col min="9226" max="9226" width="9.75" style="351" customWidth="1"/>
    <col min="9227" max="9227" width="9.875" style="351" customWidth="1"/>
    <col min="9228" max="9228" width="12" style="351" customWidth="1"/>
    <col min="9229" max="9229" width="9.875" style="351" customWidth="1"/>
    <col min="9230" max="9231" width="10.375" style="351" customWidth="1"/>
    <col min="9232" max="9232" width="16.25" style="351" customWidth="1"/>
    <col min="9233" max="9233" width="9.875" style="351" bestFit="1" customWidth="1"/>
    <col min="9234" max="9472" width="8.75" style="351"/>
    <col min="9473" max="9473" width="5" style="351" customWidth="1"/>
    <col min="9474" max="9474" width="40.875" style="351" customWidth="1"/>
    <col min="9475" max="9475" width="10.125" style="351" customWidth="1"/>
    <col min="9476" max="9476" width="10.75" style="351" customWidth="1"/>
    <col min="9477" max="9477" width="10" style="351" customWidth="1"/>
    <col min="9478" max="9478" width="9.625" style="351" bestFit="1" customWidth="1"/>
    <col min="9479" max="9479" width="10.75" style="351" customWidth="1"/>
    <col min="9480" max="9480" width="12.25" style="351" customWidth="1"/>
    <col min="9481" max="9481" width="11.625" style="351" customWidth="1"/>
    <col min="9482" max="9482" width="9.75" style="351" customWidth="1"/>
    <col min="9483" max="9483" width="9.875" style="351" customWidth="1"/>
    <col min="9484" max="9484" width="12" style="351" customWidth="1"/>
    <col min="9485" max="9485" width="9.875" style="351" customWidth="1"/>
    <col min="9486" max="9487" width="10.375" style="351" customWidth="1"/>
    <col min="9488" max="9488" width="16.25" style="351" customWidth="1"/>
    <col min="9489" max="9489" width="9.875" style="351" bestFit="1" customWidth="1"/>
    <col min="9490" max="9728" width="8.75" style="351"/>
    <col min="9729" max="9729" width="5" style="351" customWidth="1"/>
    <col min="9730" max="9730" width="40.875" style="351" customWidth="1"/>
    <col min="9731" max="9731" width="10.125" style="351" customWidth="1"/>
    <col min="9732" max="9732" width="10.75" style="351" customWidth="1"/>
    <col min="9733" max="9733" width="10" style="351" customWidth="1"/>
    <col min="9734" max="9734" width="9.625" style="351" bestFit="1" customWidth="1"/>
    <col min="9735" max="9735" width="10.75" style="351" customWidth="1"/>
    <col min="9736" max="9736" width="12.25" style="351" customWidth="1"/>
    <col min="9737" max="9737" width="11.625" style="351" customWidth="1"/>
    <col min="9738" max="9738" width="9.75" style="351" customWidth="1"/>
    <col min="9739" max="9739" width="9.875" style="351" customWidth="1"/>
    <col min="9740" max="9740" width="12" style="351" customWidth="1"/>
    <col min="9741" max="9741" width="9.875" style="351" customWidth="1"/>
    <col min="9742" max="9743" width="10.375" style="351" customWidth="1"/>
    <col min="9744" max="9744" width="16.25" style="351" customWidth="1"/>
    <col min="9745" max="9745" width="9.875" style="351" bestFit="1" customWidth="1"/>
    <col min="9746" max="9984" width="8.75" style="351"/>
    <col min="9985" max="9985" width="5" style="351" customWidth="1"/>
    <col min="9986" max="9986" width="40.875" style="351" customWidth="1"/>
    <col min="9987" max="9987" width="10.125" style="351" customWidth="1"/>
    <col min="9988" max="9988" width="10.75" style="351" customWidth="1"/>
    <col min="9989" max="9989" width="10" style="351" customWidth="1"/>
    <col min="9990" max="9990" width="9.625" style="351" bestFit="1" customWidth="1"/>
    <col min="9991" max="9991" width="10.75" style="351" customWidth="1"/>
    <col min="9992" max="9992" width="12.25" style="351" customWidth="1"/>
    <col min="9993" max="9993" width="11.625" style="351" customWidth="1"/>
    <col min="9994" max="9994" width="9.75" style="351" customWidth="1"/>
    <col min="9995" max="9995" width="9.875" style="351" customWidth="1"/>
    <col min="9996" max="9996" width="12" style="351" customWidth="1"/>
    <col min="9997" max="9997" width="9.875" style="351" customWidth="1"/>
    <col min="9998" max="9999" width="10.375" style="351" customWidth="1"/>
    <col min="10000" max="10000" width="16.25" style="351" customWidth="1"/>
    <col min="10001" max="10001" width="9.875" style="351" bestFit="1" customWidth="1"/>
    <col min="10002" max="10240" width="8.75" style="351"/>
    <col min="10241" max="10241" width="5" style="351" customWidth="1"/>
    <col min="10242" max="10242" width="40.875" style="351" customWidth="1"/>
    <col min="10243" max="10243" width="10.125" style="351" customWidth="1"/>
    <col min="10244" max="10244" width="10.75" style="351" customWidth="1"/>
    <col min="10245" max="10245" width="10" style="351" customWidth="1"/>
    <col min="10246" max="10246" width="9.625" style="351" bestFit="1" customWidth="1"/>
    <col min="10247" max="10247" width="10.75" style="351" customWidth="1"/>
    <col min="10248" max="10248" width="12.25" style="351" customWidth="1"/>
    <col min="10249" max="10249" width="11.625" style="351" customWidth="1"/>
    <col min="10250" max="10250" width="9.75" style="351" customWidth="1"/>
    <col min="10251" max="10251" width="9.875" style="351" customWidth="1"/>
    <col min="10252" max="10252" width="12" style="351" customWidth="1"/>
    <col min="10253" max="10253" width="9.875" style="351" customWidth="1"/>
    <col min="10254" max="10255" width="10.375" style="351" customWidth="1"/>
    <col min="10256" max="10256" width="16.25" style="351" customWidth="1"/>
    <col min="10257" max="10257" width="9.875" style="351" bestFit="1" customWidth="1"/>
    <col min="10258" max="10496" width="8.75" style="351"/>
    <col min="10497" max="10497" width="5" style="351" customWidth="1"/>
    <col min="10498" max="10498" width="40.875" style="351" customWidth="1"/>
    <col min="10499" max="10499" width="10.125" style="351" customWidth="1"/>
    <col min="10500" max="10500" width="10.75" style="351" customWidth="1"/>
    <col min="10501" max="10501" width="10" style="351" customWidth="1"/>
    <col min="10502" max="10502" width="9.625" style="351" bestFit="1" customWidth="1"/>
    <col min="10503" max="10503" width="10.75" style="351" customWidth="1"/>
    <col min="10504" max="10504" width="12.25" style="351" customWidth="1"/>
    <col min="10505" max="10505" width="11.625" style="351" customWidth="1"/>
    <col min="10506" max="10506" width="9.75" style="351" customWidth="1"/>
    <col min="10507" max="10507" width="9.875" style="351" customWidth="1"/>
    <col min="10508" max="10508" width="12" style="351" customWidth="1"/>
    <col min="10509" max="10509" width="9.875" style="351" customWidth="1"/>
    <col min="10510" max="10511" width="10.375" style="351" customWidth="1"/>
    <col min="10512" max="10512" width="16.25" style="351" customWidth="1"/>
    <col min="10513" max="10513" width="9.875" style="351" bestFit="1" customWidth="1"/>
    <col min="10514" max="10752" width="8.75" style="351"/>
    <col min="10753" max="10753" width="5" style="351" customWidth="1"/>
    <col min="10754" max="10754" width="40.875" style="351" customWidth="1"/>
    <col min="10755" max="10755" width="10.125" style="351" customWidth="1"/>
    <col min="10756" max="10756" width="10.75" style="351" customWidth="1"/>
    <col min="10757" max="10757" width="10" style="351" customWidth="1"/>
    <col min="10758" max="10758" width="9.625" style="351" bestFit="1" customWidth="1"/>
    <col min="10759" max="10759" width="10.75" style="351" customWidth="1"/>
    <col min="10760" max="10760" width="12.25" style="351" customWidth="1"/>
    <col min="10761" max="10761" width="11.625" style="351" customWidth="1"/>
    <col min="10762" max="10762" width="9.75" style="351" customWidth="1"/>
    <col min="10763" max="10763" width="9.875" style="351" customWidth="1"/>
    <col min="10764" max="10764" width="12" style="351" customWidth="1"/>
    <col min="10765" max="10765" width="9.875" style="351" customWidth="1"/>
    <col min="10766" max="10767" width="10.375" style="351" customWidth="1"/>
    <col min="10768" max="10768" width="16.25" style="351" customWidth="1"/>
    <col min="10769" max="10769" width="9.875" style="351" bestFit="1" customWidth="1"/>
    <col min="10770" max="11008" width="8.75" style="351"/>
    <col min="11009" max="11009" width="5" style="351" customWidth="1"/>
    <col min="11010" max="11010" width="40.875" style="351" customWidth="1"/>
    <col min="11011" max="11011" width="10.125" style="351" customWidth="1"/>
    <col min="11012" max="11012" width="10.75" style="351" customWidth="1"/>
    <col min="11013" max="11013" width="10" style="351" customWidth="1"/>
    <col min="11014" max="11014" width="9.625" style="351" bestFit="1" customWidth="1"/>
    <col min="11015" max="11015" width="10.75" style="351" customWidth="1"/>
    <col min="11016" max="11016" width="12.25" style="351" customWidth="1"/>
    <col min="11017" max="11017" width="11.625" style="351" customWidth="1"/>
    <col min="11018" max="11018" width="9.75" style="351" customWidth="1"/>
    <col min="11019" max="11019" width="9.875" style="351" customWidth="1"/>
    <col min="11020" max="11020" width="12" style="351" customWidth="1"/>
    <col min="11021" max="11021" width="9.875" style="351" customWidth="1"/>
    <col min="11022" max="11023" width="10.375" style="351" customWidth="1"/>
    <col min="11024" max="11024" width="16.25" style="351" customWidth="1"/>
    <col min="11025" max="11025" width="9.875" style="351" bestFit="1" customWidth="1"/>
    <col min="11026" max="11264" width="8.75" style="351"/>
    <col min="11265" max="11265" width="5" style="351" customWidth="1"/>
    <col min="11266" max="11266" width="40.875" style="351" customWidth="1"/>
    <col min="11267" max="11267" width="10.125" style="351" customWidth="1"/>
    <col min="11268" max="11268" width="10.75" style="351" customWidth="1"/>
    <col min="11269" max="11269" width="10" style="351" customWidth="1"/>
    <col min="11270" max="11270" width="9.625" style="351" bestFit="1" customWidth="1"/>
    <col min="11271" max="11271" width="10.75" style="351" customWidth="1"/>
    <col min="11272" max="11272" width="12.25" style="351" customWidth="1"/>
    <col min="11273" max="11273" width="11.625" style="351" customWidth="1"/>
    <col min="11274" max="11274" width="9.75" style="351" customWidth="1"/>
    <col min="11275" max="11275" width="9.875" style="351" customWidth="1"/>
    <col min="11276" max="11276" width="12" style="351" customWidth="1"/>
    <col min="11277" max="11277" width="9.875" style="351" customWidth="1"/>
    <col min="11278" max="11279" width="10.375" style="351" customWidth="1"/>
    <col min="11280" max="11280" width="16.25" style="351" customWidth="1"/>
    <col min="11281" max="11281" width="9.875" style="351" bestFit="1" customWidth="1"/>
    <col min="11282" max="11520" width="8.75" style="351"/>
    <col min="11521" max="11521" width="5" style="351" customWidth="1"/>
    <col min="11522" max="11522" width="40.875" style="351" customWidth="1"/>
    <col min="11523" max="11523" width="10.125" style="351" customWidth="1"/>
    <col min="11524" max="11524" width="10.75" style="351" customWidth="1"/>
    <col min="11525" max="11525" width="10" style="351" customWidth="1"/>
    <col min="11526" max="11526" width="9.625" style="351" bestFit="1" customWidth="1"/>
    <col min="11527" max="11527" width="10.75" style="351" customWidth="1"/>
    <col min="11528" max="11528" width="12.25" style="351" customWidth="1"/>
    <col min="11529" max="11529" width="11.625" style="351" customWidth="1"/>
    <col min="11530" max="11530" width="9.75" style="351" customWidth="1"/>
    <col min="11531" max="11531" width="9.875" style="351" customWidth="1"/>
    <col min="11532" max="11532" width="12" style="351" customWidth="1"/>
    <col min="11533" max="11533" width="9.875" style="351" customWidth="1"/>
    <col min="11534" max="11535" width="10.375" style="351" customWidth="1"/>
    <col min="11536" max="11536" width="16.25" style="351" customWidth="1"/>
    <col min="11537" max="11537" width="9.875" style="351" bestFit="1" customWidth="1"/>
    <col min="11538" max="11776" width="8.75" style="351"/>
    <col min="11777" max="11777" width="5" style="351" customWidth="1"/>
    <col min="11778" max="11778" width="40.875" style="351" customWidth="1"/>
    <col min="11779" max="11779" width="10.125" style="351" customWidth="1"/>
    <col min="11780" max="11780" width="10.75" style="351" customWidth="1"/>
    <col min="11781" max="11781" width="10" style="351" customWidth="1"/>
    <col min="11782" max="11782" width="9.625" style="351" bestFit="1" customWidth="1"/>
    <col min="11783" max="11783" width="10.75" style="351" customWidth="1"/>
    <col min="11784" max="11784" width="12.25" style="351" customWidth="1"/>
    <col min="11785" max="11785" width="11.625" style="351" customWidth="1"/>
    <col min="11786" max="11786" width="9.75" style="351" customWidth="1"/>
    <col min="11787" max="11787" width="9.875" style="351" customWidth="1"/>
    <col min="11788" max="11788" width="12" style="351" customWidth="1"/>
    <col min="11789" max="11789" width="9.875" style="351" customWidth="1"/>
    <col min="11790" max="11791" width="10.375" style="351" customWidth="1"/>
    <col min="11792" max="11792" width="16.25" style="351" customWidth="1"/>
    <col min="11793" max="11793" width="9.875" style="351" bestFit="1" customWidth="1"/>
    <col min="11794" max="12032" width="8.75" style="351"/>
    <col min="12033" max="12033" width="5" style="351" customWidth="1"/>
    <col min="12034" max="12034" width="40.875" style="351" customWidth="1"/>
    <col min="12035" max="12035" width="10.125" style="351" customWidth="1"/>
    <col min="12036" max="12036" width="10.75" style="351" customWidth="1"/>
    <col min="12037" max="12037" width="10" style="351" customWidth="1"/>
    <col min="12038" max="12038" width="9.625" style="351" bestFit="1" customWidth="1"/>
    <col min="12039" max="12039" width="10.75" style="351" customWidth="1"/>
    <col min="12040" max="12040" width="12.25" style="351" customWidth="1"/>
    <col min="12041" max="12041" width="11.625" style="351" customWidth="1"/>
    <col min="12042" max="12042" width="9.75" style="351" customWidth="1"/>
    <col min="12043" max="12043" width="9.875" style="351" customWidth="1"/>
    <col min="12044" max="12044" width="12" style="351" customWidth="1"/>
    <col min="12045" max="12045" width="9.875" style="351" customWidth="1"/>
    <col min="12046" max="12047" width="10.375" style="351" customWidth="1"/>
    <col min="12048" max="12048" width="16.25" style="351" customWidth="1"/>
    <col min="12049" max="12049" width="9.875" style="351" bestFit="1" customWidth="1"/>
    <col min="12050" max="12288" width="8.75" style="351"/>
    <col min="12289" max="12289" width="5" style="351" customWidth="1"/>
    <col min="12290" max="12290" width="40.875" style="351" customWidth="1"/>
    <col min="12291" max="12291" width="10.125" style="351" customWidth="1"/>
    <col min="12292" max="12292" width="10.75" style="351" customWidth="1"/>
    <col min="12293" max="12293" width="10" style="351" customWidth="1"/>
    <col min="12294" max="12294" width="9.625" style="351" bestFit="1" customWidth="1"/>
    <col min="12295" max="12295" width="10.75" style="351" customWidth="1"/>
    <col min="12296" max="12296" width="12.25" style="351" customWidth="1"/>
    <col min="12297" max="12297" width="11.625" style="351" customWidth="1"/>
    <col min="12298" max="12298" width="9.75" style="351" customWidth="1"/>
    <col min="12299" max="12299" width="9.875" style="351" customWidth="1"/>
    <col min="12300" max="12300" width="12" style="351" customWidth="1"/>
    <col min="12301" max="12301" width="9.875" style="351" customWidth="1"/>
    <col min="12302" max="12303" width="10.375" style="351" customWidth="1"/>
    <col min="12304" max="12304" width="16.25" style="351" customWidth="1"/>
    <col min="12305" max="12305" width="9.875" style="351" bestFit="1" customWidth="1"/>
    <col min="12306" max="12544" width="8.75" style="351"/>
    <col min="12545" max="12545" width="5" style="351" customWidth="1"/>
    <col min="12546" max="12546" width="40.875" style="351" customWidth="1"/>
    <col min="12547" max="12547" width="10.125" style="351" customWidth="1"/>
    <col min="12548" max="12548" width="10.75" style="351" customWidth="1"/>
    <col min="12549" max="12549" width="10" style="351" customWidth="1"/>
    <col min="12550" max="12550" width="9.625" style="351" bestFit="1" customWidth="1"/>
    <col min="12551" max="12551" width="10.75" style="351" customWidth="1"/>
    <col min="12552" max="12552" width="12.25" style="351" customWidth="1"/>
    <col min="12553" max="12553" width="11.625" style="351" customWidth="1"/>
    <col min="12554" max="12554" width="9.75" style="351" customWidth="1"/>
    <col min="12555" max="12555" width="9.875" style="351" customWidth="1"/>
    <col min="12556" max="12556" width="12" style="351" customWidth="1"/>
    <col min="12557" max="12557" width="9.875" style="351" customWidth="1"/>
    <col min="12558" max="12559" width="10.375" style="351" customWidth="1"/>
    <col min="12560" max="12560" width="16.25" style="351" customWidth="1"/>
    <col min="12561" max="12561" width="9.875" style="351" bestFit="1" customWidth="1"/>
    <col min="12562" max="12800" width="8.75" style="351"/>
    <col min="12801" max="12801" width="5" style="351" customWidth="1"/>
    <col min="12802" max="12802" width="40.875" style="351" customWidth="1"/>
    <col min="12803" max="12803" width="10.125" style="351" customWidth="1"/>
    <col min="12804" max="12804" width="10.75" style="351" customWidth="1"/>
    <col min="12805" max="12805" width="10" style="351" customWidth="1"/>
    <col min="12806" max="12806" width="9.625" style="351" bestFit="1" customWidth="1"/>
    <col min="12807" max="12807" width="10.75" style="351" customWidth="1"/>
    <col min="12808" max="12808" width="12.25" style="351" customWidth="1"/>
    <col min="12809" max="12809" width="11.625" style="351" customWidth="1"/>
    <col min="12810" max="12810" width="9.75" style="351" customWidth="1"/>
    <col min="12811" max="12811" width="9.875" style="351" customWidth="1"/>
    <col min="12812" max="12812" width="12" style="351" customWidth="1"/>
    <col min="12813" max="12813" width="9.875" style="351" customWidth="1"/>
    <col min="12814" max="12815" width="10.375" style="351" customWidth="1"/>
    <col min="12816" max="12816" width="16.25" style="351" customWidth="1"/>
    <col min="12817" max="12817" width="9.875" style="351" bestFit="1" customWidth="1"/>
    <col min="12818" max="13056" width="8.75" style="351"/>
    <col min="13057" max="13057" width="5" style="351" customWidth="1"/>
    <col min="13058" max="13058" width="40.875" style="351" customWidth="1"/>
    <col min="13059" max="13059" width="10.125" style="351" customWidth="1"/>
    <col min="13060" max="13060" width="10.75" style="351" customWidth="1"/>
    <col min="13061" max="13061" width="10" style="351" customWidth="1"/>
    <col min="13062" max="13062" width="9.625" style="351" bestFit="1" customWidth="1"/>
    <col min="13063" max="13063" width="10.75" style="351" customWidth="1"/>
    <col min="13064" max="13064" width="12.25" style="351" customWidth="1"/>
    <col min="13065" max="13065" width="11.625" style="351" customWidth="1"/>
    <col min="13066" max="13066" width="9.75" style="351" customWidth="1"/>
    <col min="13067" max="13067" width="9.875" style="351" customWidth="1"/>
    <col min="13068" max="13068" width="12" style="351" customWidth="1"/>
    <col min="13069" max="13069" width="9.875" style="351" customWidth="1"/>
    <col min="13070" max="13071" width="10.375" style="351" customWidth="1"/>
    <col min="13072" max="13072" width="16.25" style="351" customWidth="1"/>
    <col min="13073" max="13073" width="9.875" style="351" bestFit="1" customWidth="1"/>
    <col min="13074" max="13312" width="8.75" style="351"/>
    <col min="13313" max="13313" width="5" style="351" customWidth="1"/>
    <col min="13314" max="13314" width="40.875" style="351" customWidth="1"/>
    <col min="13315" max="13315" width="10.125" style="351" customWidth="1"/>
    <col min="13316" max="13316" width="10.75" style="351" customWidth="1"/>
    <col min="13317" max="13317" width="10" style="351" customWidth="1"/>
    <col min="13318" max="13318" width="9.625" style="351" bestFit="1" customWidth="1"/>
    <col min="13319" max="13319" width="10.75" style="351" customWidth="1"/>
    <col min="13320" max="13320" width="12.25" style="351" customWidth="1"/>
    <col min="13321" max="13321" width="11.625" style="351" customWidth="1"/>
    <col min="13322" max="13322" width="9.75" style="351" customWidth="1"/>
    <col min="13323" max="13323" width="9.875" style="351" customWidth="1"/>
    <col min="13324" max="13324" width="12" style="351" customWidth="1"/>
    <col min="13325" max="13325" width="9.875" style="351" customWidth="1"/>
    <col min="13326" max="13327" width="10.375" style="351" customWidth="1"/>
    <col min="13328" max="13328" width="16.25" style="351" customWidth="1"/>
    <col min="13329" max="13329" width="9.875" style="351" bestFit="1" customWidth="1"/>
    <col min="13330" max="13568" width="8.75" style="351"/>
    <col min="13569" max="13569" width="5" style="351" customWidth="1"/>
    <col min="13570" max="13570" width="40.875" style="351" customWidth="1"/>
    <col min="13571" max="13571" width="10.125" style="351" customWidth="1"/>
    <col min="13572" max="13572" width="10.75" style="351" customWidth="1"/>
    <col min="13573" max="13573" width="10" style="351" customWidth="1"/>
    <col min="13574" max="13574" width="9.625" style="351" bestFit="1" customWidth="1"/>
    <col min="13575" max="13575" width="10.75" style="351" customWidth="1"/>
    <col min="13576" max="13576" width="12.25" style="351" customWidth="1"/>
    <col min="13577" max="13577" width="11.625" style="351" customWidth="1"/>
    <col min="13578" max="13578" width="9.75" style="351" customWidth="1"/>
    <col min="13579" max="13579" width="9.875" style="351" customWidth="1"/>
    <col min="13580" max="13580" width="12" style="351" customWidth="1"/>
    <col min="13581" max="13581" width="9.875" style="351" customWidth="1"/>
    <col min="13582" max="13583" width="10.375" style="351" customWidth="1"/>
    <col min="13584" max="13584" width="16.25" style="351" customWidth="1"/>
    <col min="13585" max="13585" width="9.875" style="351" bestFit="1" customWidth="1"/>
    <col min="13586" max="13824" width="8.75" style="351"/>
    <col min="13825" max="13825" width="5" style="351" customWidth="1"/>
    <col min="13826" max="13826" width="40.875" style="351" customWidth="1"/>
    <col min="13827" max="13827" width="10.125" style="351" customWidth="1"/>
    <col min="13828" max="13828" width="10.75" style="351" customWidth="1"/>
    <col min="13829" max="13829" width="10" style="351" customWidth="1"/>
    <col min="13830" max="13830" width="9.625" style="351" bestFit="1" customWidth="1"/>
    <col min="13831" max="13831" width="10.75" style="351" customWidth="1"/>
    <col min="13832" max="13832" width="12.25" style="351" customWidth="1"/>
    <col min="13833" max="13833" width="11.625" style="351" customWidth="1"/>
    <col min="13834" max="13834" width="9.75" style="351" customWidth="1"/>
    <col min="13835" max="13835" width="9.875" style="351" customWidth="1"/>
    <col min="13836" max="13836" width="12" style="351" customWidth="1"/>
    <col min="13837" max="13837" width="9.875" style="351" customWidth="1"/>
    <col min="13838" max="13839" width="10.375" style="351" customWidth="1"/>
    <col min="13840" max="13840" width="16.25" style="351" customWidth="1"/>
    <col min="13841" max="13841" width="9.875" style="351" bestFit="1" customWidth="1"/>
    <col min="13842" max="14080" width="8.75" style="351"/>
    <col min="14081" max="14081" width="5" style="351" customWidth="1"/>
    <col min="14082" max="14082" width="40.875" style="351" customWidth="1"/>
    <col min="14083" max="14083" width="10.125" style="351" customWidth="1"/>
    <col min="14084" max="14084" width="10.75" style="351" customWidth="1"/>
    <col min="14085" max="14085" width="10" style="351" customWidth="1"/>
    <col min="14086" max="14086" width="9.625" style="351" bestFit="1" customWidth="1"/>
    <col min="14087" max="14087" width="10.75" style="351" customWidth="1"/>
    <col min="14088" max="14088" width="12.25" style="351" customWidth="1"/>
    <col min="14089" max="14089" width="11.625" style="351" customWidth="1"/>
    <col min="14090" max="14090" width="9.75" style="351" customWidth="1"/>
    <col min="14091" max="14091" width="9.875" style="351" customWidth="1"/>
    <col min="14092" max="14092" width="12" style="351" customWidth="1"/>
    <col min="14093" max="14093" width="9.875" style="351" customWidth="1"/>
    <col min="14094" max="14095" width="10.375" style="351" customWidth="1"/>
    <col min="14096" max="14096" width="16.25" style="351" customWidth="1"/>
    <col min="14097" max="14097" width="9.875" style="351" bestFit="1" customWidth="1"/>
    <col min="14098" max="14336" width="8.75" style="351"/>
    <col min="14337" max="14337" width="5" style="351" customWidth="1"/>
    <col min="14338" max="14338" width="40.875" style="351" customWidth="1"/>
    <col min="14339" max="14339" width="10.125" style="351" customWidth="1"/>
    <col min="14340" max="14340" width="10.75" style="351" customWidth="1"/>
    <col min="14341" max="14341" width="10" style="351" customWidth="1"/>
    <col min="14342" max="14342" width="9.625" style="351" bestFit="1" customWidth="1"/>
    <col min="14343" max="14343" width="10.75" style="351" customWidth="1"/>
    <col min="14344" max="14344" width="12.25" style="351" customWidth="1"/>
    <col min="14345" max="14345" width="11.625" style="351" customWidth="1"/>
    <col min="14346" max="14346" width="9.75" style="351" customWidth="1"/>
    <col min="14347" max="14347" width="9.875" style="351" customWidth="1"/>
    <col min="14348" max="14348" width="12" style="351" customWidth="1"/>
    <col min="14349" max="14349" width="9.875" style="351" customWidth="1"/>
    <col min="14350" max="14351" width="10.375" style="351" customWidth="1"/>
    <col min="14352" max="14352" width="16.25" style="351" customWidth="1"/>
    <col min="14353" max="14353" width="9.875" style="351" bestFit="1" customWidth="1"/>
    <col min="14354" max="14592" width="8.75" style="351"/>
    <col min="14593" max="14593" width="5" style="351" customWidth="1"/>
    <col min="14594" max="14594" width="40.875" style="351" customWidth="1"/>
    <col min="14595" max="14595" width="10.125" style="351" customWidth="1"/>
    <col min="14596" max="14596" width="10.75" style="351" customWidth="1"/>
    <col min="14597" max="14597" width="10" style="351" customWidth="1"/>
    <col min="14598" max="14598" width="9.625" style="351" bestFit="1" customWidth="1"/>
    <col min="14599" max="14599" width="10.75" style="351" customWidth="1"/>
    <col min="14600" max="14600" width="12.25" style="351" customWidth="1"/>
    <col min="14601" max="14601" width="11.625" style="351" customWidth="1"/>
    <col min="14602" max="14602" width="9.75" style="351" customWidth="1"/>
    <col min="14603" max="14603" width="9.875" style="351" customWidth="1"/>
    <col min="14604" max="14604" width="12" style="351" customWidth="1"/>
    <col min="14605" max="14605" width="9.875" style="351" customWidth="1"/>
    <col min="14606" max="14607" width="10.375" style="351" customWidth="1"/>
    <col min="14608" max="14608" width="16.25" style="351" customWidth="1"/>
    <col min="14609" max="14609" width="9.875" style="351" bestFit="1" customWidth="1"/>
    <col min="14610" max="14848" width="8.75" style="351"/>
    <col min="14849" max="14849" width="5" style="351" customWidth="1"/>
    <col min="14850" max="14850" width="40.875" style="351" customWidth="1"/>
    <col min="14851" max="14851" width="10.125" style="351" customWidth="1"/>
    <col min="14852" max="14852" width="10.75" style="351" customWidth="1"/>
    <col min="14853" max="14853" width="10" style="351" customWidth="1"/>
    <col min="14854" max="14854" width="9.625" style="351" bestFit="1" customWidth="1"/>
    <col min="14855" max="14855" width="10.75" style="351" customWidth="1"/>
    <col min="14856" max="14856" width="12.25" style="351" customWidth="1"/>
    <col min="14857" max="14857" width="11.625" style="351" customWidth="1"/>
    <col min="14858" max="14858" width="9.75" style="351" customWidth="1"/>
    <col min="14859" max="14859" width="9.875" style="351" customWidth="1"/>
    <col min="14860" max="14860" width="12" style="351" customWidth="1"/>
    <col min="14861" max="14861" width="9.875" style="351" customWidth="1"/>
    <col min="14862" max="14863" width="10.375" style="351" customWidth="1"/>
    <col min="14864" max="14864" width="16.25" style="351" customWidth="1"/>
    <col min="14865" max="14865" width="9.875" style="351" bestFit="1" customWidth="1"/>
    <col min="14866" max="15104" width="8.75" style="351"/>
    <col min="15105" max="15105" width="5" style="351" customWidth="1"/>
    <col min="15106" max="15106" width="40.875" style="351" customWidth="1"/>
    <col min="15107" max="15107" width="10.125" style="351" customWidth="1"/>
    <col min="15108" max="15108" width="10.75" style="351" customWidth="1"/>
    <col min="15109" max="15109" width="10" style="351" customWidth="1"/>
    <col min="15110" max="15110" width="9.625" style="351" bestFit="1" customWidth="1"/>
    <col min="15111" max="15111" width="10.75" style="351" customWidth="1"/>
    <col min="15112" max="15112" width="12.25" style="351" customWidth="1"/>
    <col min="15113" max="15113" width="11.625" style="351" customWidth="1"/>
    <col min="15114" max="15114" width="9.75" style="351" customWidth="1"/>
    <col min="15115" max="15115" width="9.875" style="351" customWidth="1"/>
    <col min="15116" max="15116" width="12" style="351" customWidth="1"/>
    <col min="15117" max="15117" width="9.875" style="351" customWidth="1"/>
    <col min="15118" max="15119" width="10.375" style="351" customWidth="1"/>
    <col min="15120" max="15120" width="16.25" style="351" customWidth="1"/>
    <col min="15121" max="15121" width="9.875" style="351" bestFit="1" customWidth="1"/>
    <col min="15122" max="15360" width="8.75" style="351"/>
    <col min="15361" max="15361" width="5" style="351" customWidth="1"/>
    <col min="15362" max="15362" width="40.875" style="351" customWidth="1"/>
    <col min="15363" max="15363" width="10.125" style="351" customWidth="1"/>
    <col min="15364" max="15364" width="10.75" style="351" customWidth="1"/>
    <col min="15365" max="15365" width="10" style="351" customWidth="1"/>
    <col min="15366" max="15366" width="9.625" style="351" bestFit="1" customWidth="1"/>
    <col min="15367" max="15367" width="10.75" style="351" customWidth="1"/>
    <col min="15368" max="15368" width="12.25" style="351" customWidth="1"/>
    <col min="15369" max="15369" width="11.625" style="351" customWidth="1"/>
    <col min="15370" max="15370" width="9.75" style="351" customWidth="1"/>
    <col min="15371" max="15371" width="9.875" style="351" customWidth="1"/>
    <col min="15372" max="15372" width="12" style="351" customWidth="1"/>
    <col min="15373" max="15373" width="9.875" style="351" customWidth="1"/>
    <col min="15374" max="15375" width="10.375" style="351" customWidth="1"/>
    <col min="15376" max="15376" width="16.25" style="351" customWidth="1"/>
    <col min="15377" max="15377" width="9.875" style="351" bestFit="1" customWidth="1"/>
    <col min="15378" max="15616" width="8.75" style="351"/>
    <col min="15617" max="15617" width="5" style="351" customWidth="1"/>
    <col min="15618" max="15618" width="40.875" style="351" customWidth="1"/>
    <col min="15619" max="15619" width="10.125" style="351" customWidth="1"/>
    <col min="15620" max="15620" width="10.75" style="351" customWidth="1"/>
    <col min="15621" max="15621" width="10" style="351" customWidth="1"/>
    <col min="15622" max="15622" width="9.625" style="351" bestFit="1" customWidth="1"/>
    <col min="15623" max="15623" width="10.75" style="351" customWidth="1"/>
    <col min="15624" max="15624" width="12.25" style="351" customWidth="1"/>
    <col min="15625" max="15625" width="11.625" style="351" customWidth="1"/>
    <col min="15626" max="15626" width="9.75" style="351" customWidth="1"/>
    <col min="15627" max="15627" width="9.875" style="351" customWidth="1"/>
    <col min="15628" max="15628" width="12" style="351" customWidth="1"/>
    <col min="15629" max="15629" width="9.875" style="351" customWidth="1"/>
    <col min="15630" max="15631" width="10.375" style="351" customWidth="1"/>
    <col min="15632" max="15632" width="16.25" style="351" customWidth="1"/>
    <col min="15633" max="15633" width="9.875" style="351" bestFit="1" customWidth="1"/>
    <col min="15634" max="15872" width="8.75" style="351"/>
    <col min="15873" max="15873" width="5" style="351" customWidth="1"/>
    <col min="15874" max="15874" width="40.875" style="351" customWidth="1"/>
    <col min="15875" max="15875" width="10.125" style="351" customWidth="1"/>
    <col min="15876" max="15876" width="10.75" style="351" customWidth="1"/>
    <col min="15877" max="15877" width="10" style="351" customWidth="1"/>
    <col min="15878" max="15878" width="9.625" style="351" bestFit="1" customWidth="1"/>
    <col min="15879" max="15879" width="10.75" style="351" customWidth="1"/>
    <col min="15880" max="15880" width="12.25" style="351" customWidth="1"/>
    <col min="15881" max="15881" width="11.625" style="351" customWidth="1"/>
    <col min="15882" max="15882" width="9.75" style="351" customWidth="1"/>
    <col min="15883" max="15883" width="9.875" style="351" customWidth="1"/>
    <col min="15884" max="15884" width="12" style="351" customWidth="1"/>
    <col min="15885" max="15885" width="9.875" style="351" customWidth="1"/>
    <col min="15886" max="15887" width="10.375" style="351" customWidth="1"/>
    <col min="15888" max="15888" width="16.25" style="351" customWidth="1"/>
    <col min="15889" max="15889" width="9.875" style="351" bestFit="1" customWidth="1"/>
    <col min="15890" max="16128" width="8.75" style="351"/>
    <col min="16129" max="16129" width="5" style="351" customWidth="1"/>
    <col min="16130" max="16130" width="40.875" style="351" customWidth="1"/>
    <col min="16131" max="16131" width="10.125" style="351" customWidth="1"/>
    <col min="16132" max="16132" width="10.75" style="351" customWidth="1"/>
    <col min="16133" max="16133" width="10" style="351" customWidth="1"/>
    <col min="16134" max="16134" width="9.625" style="351" bestFit="1" customWidth="1"/>
    <col min="16135" max="16135" width="10.75" style="351" customWidth="1"/>
    <col min="16136" max="16136" width="12.25" style="351" customWidth="1"/>
    <col min="16137" max="16137" width="11.625" style="351" customWidth="1"/>
    <col min="16138" max="16138" width="9.75" style="351" customWidth="1"/>
    <col min="16139" max="16139" width="9.875" style="351" customWidth="1"/>
    <col min="16140" max="16140" width="12" style="351" customWidth="1"/>
    <col min="16141" max="16141" width="9.875" style="351" customWidth="1"/>
    <col min="16142" max="16143" width="10.375" style="351" customWidth="1"/>
    <col min="16144" max="16144" width="16.25" style="351" customWidth="1"/>
    <col min="16145" max="16145" width="9.875" style="351" bestFit="1" customWidth="1"/>
    <col min="16146" max="16384" width="8.75" style="351"/>
  </cols>
  <sheetData>
    <row r="1" spans="1:18" x14ac:dyDescent="0.25">
      <c r="A1" s="997" t="s">
        <v>773</v>
      </c>
      <c r="B1" s="997"/>
      <c r="C1" s="997"/>
      <c r="D1" s="997"/>
      <c r="E1" s="997"/>
      <c r="F1" s="997"/>
      <c r="G1" s="997"/>
      <c r="H1" s="997"/>
      <c r="I1" s="997"/>
      <c r="J1" s="997"/>
      <c r="K1" s="997"/>
      <c r="L1" s="997"/>
      <c r="M1" s="997"/>
      <c r="N1" s="997"/>
      <c r="O1" s="997"/>
      <c r="P1" s="997"/>
    </row>
    <row r="2" spans="1:18" x14ac:dyDescent="0.25">
      <c r="A2" s="614"/>
      <c r="B2" s="614"/>
      <c r="C2" s="614"/>
      <c r="D2" s="614"/>
      <c r="E2" s="614"/>
      <c r="F2" s="614"/>
      <c r="G2" s="614"/>
      <c r="H2" s="614"/>
      <c r="I2" s="614"/>
      <c r="J2" s="614"/>
      <c r="K2" s="614"/>
      <c r="L2" s="614"/>
      <c r="M2" s="614"/>
      <c r="N2" s="614"/>
      <c r="O2" s="614"/>
      <c r="P2" s="614"/>
    </row>
    <row r="3" spans="1:18" ht="16.5" thickBot="1" x14ac:dyDescent="0.3"/>
    <row r="4" spans="1:18" s="406" customFormat="1" ht="77.25" thickBot="1" x14ac:dyDescent="0.3">
      <c r="A4" s="405"/>
      <c r="B4" s="311" t="s">
        <v>136</v>
      </c>
      <c r="C4" s="311" t="s">
        <v>31</v>
      </c>
      <c r="D4" s="311" t="s">
        <v>32</v>
      </c>
      <c r="E4" s="311" t="s">
        <v>33</v>
      </c>
      <c r="F4" s="312" t="s">
        <v>438</v>
      </c>
      <c r="G4" s="312" t="s">
        <v>264</v>
      </c>
      <c r="H4" s="311" t="s">
        <v>343</v>
      </c>
      <c r="I4" s="313" t="s">
        <v>52</v>
      </c>
      <c r="J4" s="313" t="s">
        <v>60</v>
      </c>
      <c r="K4" s="312" t="s">
        <v>265</v>
      </c>
      <c r="L4" s="311" t="s">
        <v>344</v>
      </c>
      <c r="M4" s="313" t="s">
        <v>74</v>
      </c>
      <c r="N4" s="312" t="s">
        <v>70</v>
      </c>
      <c r="O4" s="311" t="s">
        <v>48</v>
      </c>
      <c r="P4" s="311" t="s">
        <v>255</v>
      </c>
    </row>
    <row r="5" spans="1:18" s="406" customFormat="1" ht="16.5" thickBot="1" x14ac:dyDescent="0.3">
      <c r="A5" s="405"/>
      <c r="B5" s="311"/>
      <c r="C5" s="311" t="s">
        <v>154</v>
      </c>
      <c r="D5" s="311" t="s">
        <v>155</v>
      </c>
      <c r="E5" s="311" t="s">
        <v>156</v>
      </c>
      <c r="F5" s="312" t="s">
        <v>157</v>
      </c>
      <c r="G5" s="312" t="s">
        <v>256</v>
      </c>
      <c r="H5" s="311" t="s">
        <v>269</v>
      </c>
      <c r="I5" s="313" t="s">
        <v>158</v>
      </c>
      <c r="J5" s="313" t="s">
        <v>159</v>
      </c>
      <c r="K5" s="312" t="s">
        <v>160</v>
      </c>
      <c r="L5" s="311" t="s">
        <v>270</v>
      </c>
      <c r="M5" s="314"/>
      <c r="N5" s="312"/>
      <c r="O5" s="311" t="s">
        <v>267</v>
      </c>
      <c r="P5" s="311" t="s">
        <v>268</v>
      </c>
    </row>
    <row r="6" spans="1:18" s="319" customFormat="1" ht="16.5" thickBot="1" x14ac:dyDescent="0.3">
      <c r="A6" s="315"/>
      <c r="B6" s="315" t="s">
        <v>137</v>
      </c>
      <c r="C6" s="315" t="s">
        <v>138</v>
      </c>
      <c r="D6" s="315" t="s">
        <v>139</v>
      </c>
      <c r="E6" s="315" t="s">
        <v>140</v>
      </c>
      <c r="F6" s="316" t="s">
        <v>141</v>
      </c>
      <c r="G6" s="316" t="s">
        <v>142</v>
      </c>
      <c r="H6" s="315" t="s">
        <v>34</v>
      </c>
      <c r="I6" s="317" t="s">
        <v>35</v>
      </c>
      <c r="J6" s="315" t="s">
        <v>36</v>
      </c>
      <c r="K6" s="316" t="s">
        <v>37</v>
      </c>
      <c r="L6" s="315" t="s">
        <v>38</v>
      </c>
      <c r="M6" s="318" t="s">
        <v>39</v>
      </c>
      <c r="N6" s="316" t="s">
        <v>40</v>
      </c>
      <c r="O6" s="315" t="s">
        <v>262</v>
      </c>
      <c r="P6" s="315" t="s">
        <v>273</v>
      </c>
    </row>
    <row r="7" spans="1:18" s="326" customFormat="1" x14ac:dyDescent="0.25">
      <c r="A7" s="320"/>
      <c r="B7" s="321"/>
      <c r="C7" s="322"/>
      <c r="D7" s="322"/>
      <c r="E7" s="322"/>
      <c r="F7" s="322"/>
      <c r="G7" s="323"/>
      <c r="H7" s="324"/>
      <c r="I7" s="322"/>
      <c r="J7" s="322"/>
      <c r="K7" s="323"/>
      <c r="L7" s="324"/>
      <c r="M7" s="322"/>
      <c r="N7" s="323"/>
      <c r="O7" s="325"/>
      <c r="P7" s="324"/>
    </row>
    <row r="8" spans="1:18" s="333" customFormat="1" x14ac:dyDescent="0.25">
      <c r="A8" s="327"/>
      <c r="B8" s="328" t="s">
        <v>345</v>
      </c>
      <c r="C8" s="329">
        <v>407003</v>
      </c>
      <c r="D8" s="329">
        <v>87915</v>
      </c>
      <c r="E8" s="329">
        <v>8619686</v>
      </c>
      <c r="F8" s="330">
        <v>200146</v>
      </c>
      <c r="G8" s="331">
        <v>12230899</v>
      </c>
      <c r="H8" s="332">
        <f>SUM(C8:G8)</f>
        <v>21545649</v>
      </c>
      <c r="I8" s="329">
        <v>25445709</v>
      </c>
      <c r="J8" s="329">
        <v>489648</v>
      </c>
      <c r="K8" s="331">
        <v>2165619</v>
      </c>
      <c r="L8" s="332">
        <f>SUM(I8:K8)</f>
        <v>28100976</v>
      </c>
      <c r="M8" s="329">
        <v>400000</v>
      </c>
      <c r="N8" s="331">
        <v>3236816</v>
      </c>
      <c r="O8" s="332">
        <f>SUM(M8:N8)</f>
        <v>3636816</v>
      </c>
      <c r="P8" s="332">
        <f>SUM(O8+L8+H8)</f>
        <v>53283441</v>
      </c>
    </row>
    <row r="9" spans="1:18" s="333" customFormat="1" x14ac:dyDescent="0.25">
      <c r="A9" s="327"/>
      <c r="B9" s="336" t="s">
        <v>822</v>
      </c>
      <c r="C9" s="329">
        <v>420221</v>
      </c>
      <c r="D9" s="329">
        <v>87636</v>
      </c>
      <c r="E9" s="329">
        <v>9409751</v>
      </c>
      <c r="F9" s="330">
        <v>200146</v>
      </c>
      <c r="G9" s="331">
        <v>13611900</v>
      </c>
      <c r="H9" s="332">
        <f>SUM(C9:G9)</f>
        <v>23729654</v>
      </c>
      <c r="I9" s="329">
        <v>24520552</v>
      </c>
      <c r="J9" s="329">
        <v>317706</v>
      </c>
      <c r="K9" s="331">
        <v>2163093</v>
      </c>
      <c r="L9" s="332">
        <f>SUM(I9:K9)</f>
        <v>27001351</v>
      </c>
      <c r="M9" s="329">
        <v>400000</v>
      </c>
      <c r="N9" s="331">
        <v>736816</v>
      </c>
      <c r="O9" s="332">
        <f>SUM(M9:N9)</f>
        <v>1136816</v>
      </c>
      <c r="P9" s="332">
        <f>SUM(O9+L9+H9)</f>
        <v>51867821</v>
      </c>
    </row>
    <row r="10" spans="1:18" s="333" customFormat="1" x14ac:dyDescent="0.25">
      <c r="A10" s="327"/>
      <c r="B10" s="336" t="s">
        <v>928</v>
      </c>
      <c r="C10" s="329">
        <v>398249</v>
      </c>
      <c r="D10" s="329">
        <v>98069</v>
      </c>
      <c r="E10" s="329">
        <v>8961959</v>
      </c>
      <c r="F10" s="330">
        <v>220370</v>
      </c>
      <c r="G10" s="331">
        <v>11719550</v>
      </c>
      <c r="H10" s="332">
        <f>SUM(C10:G10)</f>
        <v>21398197</v>
      </c>
      <c r="I10" s="329">
        <v>23745405</v>
      </c>
      <c r="J10" s="329">
        <v>340659</v>
      </c>
      <c r="K10" s="331">
        <v>1436954</v>
      </c>
      <c r="L10" s="332">
        <f>SUM(I10:K10)</f>
        <v>25523018</v>
      </c>
      <c r="M10" s="329">
        <v>272459</v>
      </c>
      <c r="N10" s="331">
        <v>2811406</v>
      </c>
      <c r="O10" s="332">
        <f>SUM(M10:N10)</f>
        <v>3083865</v>
      </c>
      <c r="P10" s="332">
        <f>SUM(O10+L10+H10)</f>
        <v>50005080</v>
      </c>
    </row>
    <row r="11" spans="1:18" s="333" customFormat="1" x14ac:dyDescent="0.25">
      <c r="A11" s="327"/>
      <c r="B11" s="336" t="s">
        <v>1033</v>
      </c>
      <c r="C11" s="329">
        <v>370953</v>
      </c>
      <c r="D11" s="329">
        <v>95857</v>
      </c>
      <c r="E11" s="329">
        <v>8722673</v>
      </c>
      <c r="F11" s="329">
        <v>220983</v>
      </c>
      <c r="G11" s="331">
        <v>12229534</v>
      </c>
      <c r="H11" s="332">
        <f>SUM(C11:G11)</f>
        <v>21640000</v>
      </c>
      <c r="I11" s="329">
        <v>20632963</v>
      </c>
      <c r="J11" s="329">
        <v>366351</v>
      </c>
      <c r="K11" s="331">
        <v>2688635</v>
      </c>
      <c r="L11" s="332">
        <f>SUM(I11:K11)</f>
        <v>23687949</v>
      </c>
      <c r="M11" s="329">
        <v>221850</v>
      </c>
      <c r="N11" s="331">
        <v>3392601</v>
      </c>
      <c r="O11" s="332">
        <f>SUM(M11:N11)</f>
        <v>3614451</v>
      </c>
      <c r="P11" s="332">
        <f>SUM(O11+L11+H11)</f>
        <v>48942400</v>
      </c>
    </row>
    <row r="12" spans="1:18" s="333" customFormat="1" x14ac:dyDescent="0.25">
      <c r="A12" s="327"/>
      <c r="B12" s="336" t="s">
        <v>1046</v>
      </c>
      <c r="C12" s="329">
        <v>362150</v>
      </c>
      <c r="D12" s="329">
        <v>95357</v>
      </c>
      <c r="E12" s="329">
        <v>9863140</v>
      </c>
      <c r="F12" s="329">
        <v>220983</v>
      </c>
      <c r="G12" s="331">
        <v>12417664</v>
      </c>
      <c r="H12" s="332">
        <f>SUM(C12:G12)</f>
        <v>22959294</v>
      </c>
      <c r="I12" s="329">
        <v>23361921</v>
      </c>
      <c r="J12" s="329">
        <v>351447</v>
      </c>
      <c r="K12" s="331">
        <v>2683833</v>
      </c>
      <c r="L12" s="332">
        <f>SUM(I12:K12)</f>
        <v>26397201</v>
      </c>
      <c r="M12" s="329">
        <v>221850</v>
      </c>
      <c r="N12" s="331">
        <v>4194154</v>
      </c>
      <c r="O12" s="332">
        <f>SUM(M12:N12)</f>
        <v>4416004</v>
      </c>
      <c r="P12" s="332">
        <f>SUM(O12+L12+H12)</f>
        <v>53772499</v>
      </c>
    </row>
    <row r="13" spans="1:18" x14ac:dyDescent="0.25">
      <c r="A13" s="320" t="s">
        <v>450</v>
      </c>
      <c r="B13" s="335" t="s">
        <v>451</v>
      </c>
      <c r="C13" s="378"/>
      <c r="D13" s="378"/>
      <c r="E13" s="378"/>
      <c r="F13" s="378"/>
      <c r="G13" s="402"/>
      <c r="H13" s="324"/>
      <c r="I13" s="378"/>
      <c r="J13" s="378"/>
      <c r="K13" s="402"/>
      <c r="L13" s="334"/>
      <c r="M13" s="378"/>
      <c r="N13" s="402"/>
      <c r="O13" s="409"/>
      <c r="P13" s="324"/>
      <c r="R13" s="333"/>
    </row>
    <row r="14" spans="1:18" x14ac:dyDescent="0.25">
      <c r="A14" s="320"/>
      <c r="B14" s="335" t="s">
        <v>77</v>
      </c>
      <c r="C14" s="378"/>
      <c r="D14" s="378"/>
      <c r="E14" s="378"/>
      <c r="F14" s="378"/>
      <c r="G14" s="402"/>
      <c r="H14" s="324"/>
      <c r="I14" s="378"/>
      <c r="J14" s="378"/>
      <c r="K14" s="402"/>
      <c r="L14" s="334"/>
      <c r="M14" s="378"/>
      <c r="N14" s="402"/>
      <c r="O14" s="409"/>
      <c r="P14" s="324"/>
      <c r="R14" s="333"/>
    </row>
    <row r="15" spans="1:18" x14ac:dyDescent="0.25">
      <c r="A15" s="320"/>
      <c r="B15" s="336" t="s">
        <v>78</v>
      </c>
      <c r="C15" s="378"/>
      <c r="D15" s="378"/>
      <c r="E15" s="378"/>
      <c r="F15" s="378"/>
      <c r="G15" s="402"/>
      <c r="H15" s="324"/>
      <c r="I15" s="378"/>
      <c r="J15" s="378"/>
      <c r="K15" s="402"/>
      <c r="L15" s="334"/>
      <c r="M15" s="378"/>
      <c r="N15" s="402"/>
      <c r="O15" s="409"/>
      <c r="P15" s="324"/>
      <c r="R15" s="333"/>
    </row>
    <row r="16" spans="1:18" x14ac:dyDescent="0.25">
      <c r="A16" s="320"/>
      <c r="B16" s="345" t="s">
        <v>668</v>
      </c>
      <c r="C16" s="378"/>
      <c r="D16" s="378"/>
      <c r="E16" s="378"/>
      <c r="F16" s="378"/>
      <c r="G16" s="402"/>
      <c r="H16" s="324"/>
      <c r="I16" s="378"/>
      <c r="J16" s="378"/>
      <c r="K16" s="402"/>
      <c r="L16" s="334"/>
      <c r="M16" s="378"/>
      <c r="N16" s="402"/>
      <c r="O16" s="409"/>
      <c r="P16" s="324"/>
    </row>
    <row r="17" spans="1:18" x14ac:dyDescent="0.25">
      <c r="A17" s="320"/>
      <c r="B17" s="820" t="s">
        <v>1190</v>
      </c>
      <c r="C17" s="378">
        <v>-4</v>
      </c>
      <c r="D17" s="378"/>
      <c r="E17" s="378">
        <v>4</v>
      </c>
      <c r="F17" s="378"/>
      <c r="G17" s="402"/>
      <c r="H17" s="324">
        <f t="shared" ref="H17" si="0">SUM(C17:G17)</f>
        <v>0</v>
      </c>
      <c r="I17" s="378"/>
      <c r="J17" s="378"/>
      <c r="K17" s="402"/>
      <c r="L17" s="334">
        <f t="shared" ref="L17" si="1">SUM(I17:K17)</f>
        <v>0</v>
      </c>
      <c r="M17" s="378"/>
      <c r="N17" s="402"/>
      <c r="O17" s="409"/>
      <c r="P17" s="324">
        <f t="shared" ref="P17" si="2">O17+L17+H17</f>
        <v>0</v>
      </c>
      <c r="Q17" s="351" t="s">
        <v>652</v>
      </c>
      <c r="R17" s="351" t="s">
        <v>652</v>
      </c>
    </row>
    <row r="18" spans="1:18" ht="31.5" x14ac:dyDescent="0.25">
      <c r="A18" s="320"/>
      <c r="B18" s="335" t="s">
        <v>79</v>
      </c>
      <c r="C18" s="378"/>
      <c r="D18" s="378"/>
      <c r="E18" s="378"/>
      <c r="F18" s="378"/>
      <c r="G18" s="402"/>
      <c r="H18" s="324"/>
      <c r="I18" s="378"/>
      <c r="J18" s="378"/>
      <c r="K18" s="402"/>
      <c r="L18" s="334"/>
      <c r="M18" s="378"/>
      <c r="N18" s="402"/>
      <c r="O18" s="409"/>
      <c r="P18" s="324"/>
      <c r="R18" s="333"/>
    </row>
    <row r="19" spans="1:18" x14ac:dyDescent="0.25">
      <c r="A19" s="343"/>
      <c r="B19" s="346" t="s">
        <v>825</v>
      </c>
      <c r="C19" s="410"/>
      <c r="D19" s="403"/>
      <c r="E19" s="403"/>
      <c r="F19" s="403"/>
      <c r="G19" s="411"/>
      <c r="H19" s="324"/>
      <c r="I19" s="410"/>
      <c r="J19" s="410"/>
      <c r="K19" s="413"/>
      <c r="L19" s="334"/>
      <c r="M19" s="410"/>
      <c r="N19" s="413"/>
      <c r="O19" s="412"/>
      <c r="P19" s="324"/>
    </row>
    <row r="20" spans="1:18" x14ac:dyDescent="0.25">
      <c r="A20" s="343"/>
      <c r="B20" s="345" t="s">
        <v>668</v>
      </c>
      <c r="C20" s="410"/>
      <c r="D20" s="403"/>
      <c r="E20" s="403"/>
      <c r="F20" s="403"/>
      <c r="G20" s="415"/>
      <c r="H20" s="334"/>
      <c r="I20" s="410"/>
      <c r="J20" s="410"/>
      <c r="K20" s="413"/>
      <c r="L20" s="334"/>
      <c r="M20" s="410"/>
      <c r="N20" s="413"/>
      <c r="O20" s="412"/>
      <c r="P20" s="334"/>
    </row>
    <row r="21" spans="1:18" x14ac:dyDescent="0.25">
      <c r="A21" s="343"/>
      <c r="B21" s="377" t="s">
        <v>1191</v>
      </c>
      <c r="C21" s="410">
        <v>229</v>
      </c>
      <c r="D21" s="403"/>
      <c r="E21" s="403"/>
      <c r="F21" s="403"/>
      <c r="G21" s="415"/>
      <c r="H21" s="334">
        <f>SUM(C21:G21)</f>
        <v>229</v>
      </c>
      <c r="I21" s="410"/>
      <c r="J21" s="410"/>
      <c r="K21" s="413"/>
      <c r="L21" s="334">
        <f>SUM(I21:K21)</f>
        <v>0</v>
      </c>
      <c r="M21" s="410"/>
      <c r="N21" s="413"/>
      <c r="O21" s="412"/>
      <c r="P21" s="334">
        <f>O21+L21+H21</f>
        <v>229</v>
      </c>
      <c r="Q21" s="351" t="s">
        <v>652</v>
      </c>
      <c r="R21" s="351" t="s">
        <v>655</v>
      </c>
    </row>
    <row r="22" spans="1:18" x14ac:dyDescent="0.25">
      <c r="A22" s="343"/>
      <c r="B22" s="377" t="s">
        <v>1192</v>
      </c>
      <c r="C22" s="410">
        <v>-229</v>
      </c>
      <c r="D22" s="403"/>
      <c r="E22" s="403"/>
      <c r="F22" s="403"/>
      <c r="G22" s="415"/>
      <c r="H22" s="334">
        <f>SUM(C22:G22)</f>
        <v>-229</v>
      </c>
      <c r="I22" s="410"/>
      <c r="J22" s="410"/>
      <c r="K22" s="413"/>
      <c r="L22" s="334">
        <f>SUM(I22:K22)</f>
        <v>0</v>
      </c>
      <c r="M22" s="410"/>
      <c r="N22" s="413"/>
      <c r="O22" s="412"/>
      <c r="P22" s="334">
        <f>O22+L22+H22</f>
        <v>-229</v>
      </c>
      <c r="Q22" s="351" t="s">
        <v>652</v>
      </c>
      <c r="R22" s="351" t="s">
        <v>652</v>
      </c>
    </row>
    <row r="23" spans="1:18" s="326" customFormat="1" x14ac:dyDescent="0.25">
      <c r="A23" s="343" t="s">
        <v>485</v>
      </c>
      <c r="B23" s="347" t="s">
        <v>486</v>
      </c>
      <c r="C23" s="348"/>
      <c r="D23" s="348"/>
      <c r="E23" s="348"/>
      <c r="F23" s="348"/>
      <c r="G23" s="349"/>
      <c r="H23" s="334"/>
      <c r="I23" s="348"/>
      <c r="J23" s="348"/>
      <c r="K23" s="349"/>
      <c r="L23" s="334"/>
      <c r="M23" s="348"/>
      <c r="N23" s="349"/>
      <c r="O23" s="334"/>
      <c r="P23" s="334"/>
      <c r="R23" s="333"/>
    </row>
    <row r="24" spans="1:18" x14ac:dyDescent="0.25">
      <c r="A24" s="350"/>
      <c r="B24" s="559"/>
      <c r="C24" s="410"/>
      <c r="D24" s="403"/>
      <c r="E24" s="403"/>
      <c r="F24" s="403"/>
      <c r="G24" s="411"/>
      <c r="H24" s="334"/>
      <c r="I24" s="410"/>
      <c r="J24" s="410"/>
      <c r="K24" s="413"/>
      <c r="L24" s="334"/>
      <c r="M24" s="410"/>
      <c r="N24" s="413"/>
      <c r="O24" s="412"/>
      <c r="P24" s="334"/>
      <c r="Q24" s="351" t="s">
        <v>655</v>
      </c>
      <c r="R24" s="333"/>
    </row>
    <row r="25" spans="1:18" s="326" customFormat="1" x14ac:dyDescent="0.25">
      <c r="A25" s="343" t="s">
        <v>41</v>
      </c>
      <c r="B25" s="347" t="s">
        <v>42</v>
      </c>
      <c r="C25" s="348"/>
      <c r="D25" s="348"/>
      <c r="E25" s="348"/>
      <c r="F25" s="348"/>
      <c r="G25" s="349"/>
      <c r="H25" s="334"/>
      <c r="I25" s="348"/>
      <c r="J25" s="348"/>
      <c r="K25" s="349"/>
      <c r="L25" s="334"/>
      <c r="M25" s="348"/>
      <c r="N25" s="349"/>
      <c r="O25" s="334"/>
      <c r="P25" s="334"/>
      <c r="R25" s="333"/>
    </row>
    <row r="26" spans="1:18" ht="31.5" x14ac:dyDescent="0.25">
      <c r="A26" s="343"/>
      <c r="B26" s="346" t="s">
        <v>776</v>
      </c>
      <c r="C26" s="410"/>
      <c r="D26" s="403"/>
      <c r="E26" s="403"/>
      <c r="F26" s="403"/>
      <c r="G26" s="411"/>
      <c r="H26" s="324"/>
      <c r="I26" s="410"/>
      <c r="J26" s="410"/>
      <c r="K26" s="413"/>
      <c r="L26" s="334"/>
      <c r="M26" s="410"/>
      <c r="N26" s="413"/>
      <c r="O26" s="412"/>
      <c r="P26" s="324"/>
      <c r="R26" s="333"/>
    </row>
    <row r="27" spans="1:18" x14ac:dyDescent="0.25">
      <c r="A27" s="350"/>
      <c r="B27" s="345" t="s">
        <v>668</v>
      </c>
      <c r="C27" s="410"/>
      <c r="D27" s="410"/>
      <c r="E27" s="410"/>
      <c r="F27" s="403"/>
      <c r="G27" s="411"/>
      <c r="H27" s="324"/>
      <c r="I27" s="410"/>
      <c r="J27" s="410"/>
      <c r="K27" s="413"/>
      <c r="L27" s="334"/>
      <c r="M27" s="410"/>
      <c r="N27" s="413"/>
      <c r="O27" s="412"/>
      <c r="P27" s="324"/>
      <c r="R27" s="333"/>
    </row>
    <row r="28" spans="1:18" ht="47.25" x14ac:dyDescent="0.25">
      <c r="A28" s="350"/>
      <c r="B28" s="352" t="s">
        <v>949</v>
      </c>
      <c r="C28" s="410"/>
      <c r="D28" s="410"/>
      <c r="E28" s="410">
        <v>91</v>
      </c>
      <c r="F28" s="403"/>
      <c r="G28" s="411"/>
      <c r="H28" s="324">
        <f t="shared" ref="H28" si="3">SUM(C28:G28)</f>
        <v>91</v>
      </c>
      <c r="I28" s="410"/>
      <c r="J28" s="410"/>
      <c r="K28" s="413"/>
      <c r="L28" s="334">
        <f t="shared" ref="L28" si="4">SUM(I28:K28)</f>
        <v>0</v>
      </c>
      <c r="M28" s="410"/>
      <c r="N28" s="413"/>
      <c r="O28" s="412"/>
      <c r="P28" s="324">
        <f t="shared" ref="P28" si="5">O28+L28+H28</f>
        <v>91</v>
      </c>
      <c r="Q28" s="351" t="s">
        <v>655</v>
      </c>
      <c r="R28" s="351" t="s">
        <v>655</v>
      </c>
    </row>
    <row r="29" spans="1:18" x14ac:dyDescent="0.25">
      <c r="A29" s="350"/>
      <c r="B29" s="352"/>
      <c r="C29" s="410"/>
      <c r="D29" s="410"/>
      <c r="E29" s="410"/>
      <c r="F29" s="403"/>
      <c r="G29" s="411"/>
      <c r="H29" s="324"/>
      <c r="I29" s="410"/>
      <c r="J29" s="410"/>
      <c r="K29" s="413"/>
      <c r="L29" s="334"/>
      <c r="M29" s="410"/>
      <c r="N29" s="413"/>
      <c r="O29" s="412"/>
      <c r="P29" s="324"/>
      <c r="Q29" s="351" t="s">
        <v>655</v>
      </c>
      <c r="R29" s="333"/>
    </row>
    <row r="30" spans="1:18" x14ac:dyDescent="0.25">
      <c r="A30" s="343"/>
      <c r="B30" s="346" t="s">
        <v>84</v>
      </c>
      <c r="C30" s="410"/>
      <c r="D30" s="403"/>
      <c r="E30" s="403"/>
      <c r="F30" s="403"/>
      <c r="G30" s="411"/>
      <c r="H30" s="334"/>
      <c r="I30" s="410"/>
      <c r="J30" s="410"/>
      <c r="K30" s="413"/>
      <c r="L30" s="334"/>
      <c r="M30" s="410"/>
      <c r="N30" s="413"/>
      <c r="O30" s="412"/>
      <c r="P30" s="334"/>
      <c r="R30" s="333"/>
    </row>
    <row r="31" spans="1:18" x14ac:dyDescent="0.25">
      <c r="A31" s="343"/>
      <c r="B31" s="345" t="s">
        <v>959</v>
      </c>
      <c r="C31" s="410"/>
      <c r="D31" s="410"/>
      <c r="E31" s="410"/>
      <c r="F31" s="410"/>
      <c r="G31" s="411"/>
      <c r="H31" s="324"/>
      <c r="I31" s="410"/>
      <c r="J31" s="410"/>
      <c r="K31" s="411"/>
      <c r="L31" s="334"/>
      <c r="M31" s="410"/>
      <c r="N31" s="411"/>
      <c r="O31" s="412"/>
      <c r="P31" s="324"/>
    </row>
    <row r="32" spans="1:18" ht="47.25" x14ac:dyDescent="0.25">
      <c r="A32" s="416"/>
      <c r="B32" s="344" t="s">
        <v>1051</v>
      </c>
      <c r="C32" s="410"/>
      <c r="D32" s="403"/>
      <c r="E32" s="403">
        <v>-374</v>
      </c>
      <c r="F32" s="410"/>
      <c r="G32" s="415"/>
      <c r="H32" s="324">
        <f>SUM(C32:G32)</f>
        <v>-374</v>
      </c>
      <c r="I32" s="410"/>
      <c r="J32" s="410"/>
      <c r="K32" s="410"/>
      <c r="L32" s="334">
        <f>SUM(I32:K32)</f>
        <v>0</v>
      </c>
      <c r="M32" s="410"/>
      <c r="N32" s="413"/>
      <c r="O32" s="412"/>
      <c r="P32" s="324">
        <f>O32+L32+H32</f>
        <v>-374</v>
      </c>
      <c r="Q32" s="351" t="s">
        <v>652</v>
      </c>
      <c r="R32" s="351" t="s">
        <v>652</v>
      </c>
    </row>
    <row r="33" spans="1:18" x14ac:dyDescent="0.25">
      <c r="A33" s="416"/>
      <c r="B33" s="344"/>
      <c r="C33" s="410"/>
      <c r="D33" s="403"/>
      <c r="E33" s="403"/>
      <c r="F33" s="403"/>
      <c r="G33" s="415"/>
      <c r="H33" s="324"/>
      <c r="I33" s="410"/>
      <c r="J33" s="410"/>
      <c r="K33" s="410"/>
      <c r="L33" s="334"/>
      <c r="M33" s="410"/>
      <c r="N33" s="413"/>
      <c r="O33" s="412"/>
      <c r="P33" s="324"/>
    </row>
    <row r="34" spans="1:18" x14ac:dyDescent="0.25">
      <c r="A34" s="416"/>
      <c r="B34" s="345" t="s">
        <v>668</v>
      </c>
      <c r="C34" s="410"/>
      <c r="D34" s="403"/>
      <c r="E34" s="403"/>
      <c r="F34" s="403"/>
      <c r="G34" s="415"/>
      <c r="H34" s="324"/>
      <c r="I34" s="410"/>
      <c r="J34" s="410"/>
      <c r="K34" s="413"/>
      <c r="L34" s="334"/>
      <c r="M34" s="410"/>
      <c r="N34" s="413"/>
      <c r="O34" s="412"/>
      <c r="P34" s="324"/>
    </row>
    <row r="35" spans="1:18" x14ac:dyDescent="0.25">
      <c r="A35" s="416"/>
      <c r="B35" s="344" t="s">
        <v>1055</v>
      </c>
      <c r="C35" s="410"/>
      <c r="D35" s="403"/>
      <c r="E35" s="378">
        <v>100</v>
      </c>
      <c r="F35" s="378"/>
      <c r="G35" s="402"/>
      <c r="H35" s="324">
        <f t="shared" ref="H35:H38" si="6">SUM(C35:G35)</f>
        <v>100</v>
      </c>
      <c r="I35" s="378"/>
      <c r="J35" s="410"/>
      <c r="K35" s="413"/>
      <c r="L35" s="334">
        <f t="shared" ref="L35:L38" si="7">SUM(I35:K35)</f>
        <v>0</v>
      </c>
      <c r="M35" s="410"/>
      <c r="N35" s="413"/>
      <c r="O35" s="412"/>
      <c r="P35" s="324">
        <f t="shared" ref="P35:P38" si="8">O35+L35+H35</f>
        <v>100</v>
      </c>
      <c r="Q35" s="351" t="s">
        <v>655</v>
      </c>
      <c r="R35" s="351" t="s">
        <v>652</v>
      </c>
    </row>
    <row r="36" spans="1:18" ht="31.5" x14ac:dyDescent="0.25">
      <c r="A36" s="416"/>
      <c r="B36" s="344" t="s">
        <v>1193</v>
      </c>
      <c r="C36" s="410"/>
      <c r="D36" s="403"/>
      <c r="E36" s="378">
        <v>-19798</v>
      </c>
      <c r="F36" s="378"/>
      <c r="G36" s="402"/>
      <c r="H36" s="324">
        <f t="shared" si="6"/>
        <v>-19798</v>
      </c>
      <c r="I36" s="378">
        <v>19798</v>
      </c>
      <c r="J36" s="410"/>
      <c r="K36" s="413"/>
      <c r="L36" s="334">
        <f t="shared" si="7"/>
        <v>19798</v>
      </c>
      <c r="M36" s="410"/>
      <c r="N36" s="413"/>
      <c r="O36" s="412"/>
      <c r="P36" s="324">
        <f t="shared" si="8"/>
        <v>0</v>
      </c>
      <c r="Q36" s="351" t="s">
        <v>655</v>
      </c>
      <c r="R36" s="351" t="s">
        <v>652</v>
      </c>
    </row>
    <row r="37" spans="1:18" ht="47.25" x14ac:dyDescent="0.25">
      <c r="A37" s="416"/>
      <c r="B37" s="344" t="s">
        <v>1194</v>
      </c>
      <c r="C37" s="410"/>
      <c r="D37" s="403"/>
      <c r="E37" s="410">
        <v>2355</v>
      </c>
      <c r="F37" s="410"/>
      <c r="G37" s="411"/>
      <c r="H37" s="334">
        <f t="shared" ref="H37" si="9">SUM(C37:G37)</f>
        <v>2355</v>
      </c>
      <c r="I37" s="410">
        <v>-2355</v>
      </c>
      <c r="J37" s="410"/>
      <c r="K37" s="413"/>
      <c r="L37" s="334">
        <f t="shared" ref="L37" si="10">SUM(I37:K37)</f>
        <v>-2355</v>
      </c>
      <c r="M37" s="410"/>
      <c r="N37" s="413"/>
      <c r="O37" s="412"/>
      <c r="P37" s="334">
        <f t="shared" ref="P37" si="11">O37+L37+H37</f>
        <v>0</v>
      </c>
      <c r="Q37" s="351" t="s">
        <v>655</v>
      </c>
      <c r="R37" s="351" t="s">
        <v>652</v>
      </c>
    </row>
    <row r="38" spans="1:18" ht="31.5" x14ac:dyDescent="0.25">
      <c r="A38" s="416"/>
      <c r="B38" s="344" t="s">
        <v>1195</v>
      </c>
      <c r="C38" s="410"/>
      <c r="D38" s="403"/>
      <c r="E38" s="410">
        <v>711</v>
      </c>
      <c r="F38" s="410"/>
      <c r="G38" s="411"/>
      <c r="H38" s="334">
        <f t="shared" si="6"/>
        <v>711</v>
      </c>
      <c r="I38" s="410">
        <v>-711</v>
      </c>
      <c r="J38" s="410"/>
      <c r="K38" s="413"/>
      <c r="L38" s="334">
        <f t="shared" si="7"/>
        <v>-711</v>
      </c>
      <c r="M38" s="410"/>
      <c r="N38" s="413"/>
      <c r="O38" s="412"/>
      <c r="P38" s="334">
        <f t="shared" si="8"/>
        <v>0</v>
      </c>
      <c r="Q38" s="351" t="s">
        <v>655</v>
      </c>
      <c r="R38" s="351" t="s">
        <v>655</v>
      </c>
    </row>
    <row r="39" spans="1:18" x14ac:dyDescent="0.25">
      <c r="A39" s="416"/>
      <c r="B39" s="346" t="s">
        <v>460</v>
      </c>
      <c r="C39" s="410"/>
      <c r="D39" s="403"/>
      <c r="E39" s="378"/>
      <c r="F39" s="378"/>
      <c r="G39" s="402"/>
      <c r="H39" s="324"/>
      <c r="I39" s="378"/>
      <c r="J39" s="410"/>
      <c r="K39" s="413"/>
      <c r="L39" s="334"/>
      <c r="M39" s="410"/>
      <c r="N39" s="413"/>
      <c r="O39" s="412"/>
      <c r="P39" s="324"/>
      <c r="Q39" s="351" t="s">
        <v>652</v>
      </c>
    </row>
    <row r="40" spans="1:18" x14ac:dyDescent="0.25">
      <c r="A40" s="416"/>
      <c r="B40" s="345" t="s">
        <v>668</v>
      </c>
      <c r="C40" s="410"/>
      <c r="D40" s="403"/>
      <c r="E40" s="378"/>
      <c r="F40" s="378"/>
      <c r="G40" s="402"/>
      <c r="H40" s="324"/>
      <c r="I40" s="378"/>
      <c r="J40" s="410"/>
      <c r="K40" s="413"/>
      <c r="L40" s="334"/>
      <c r="M40" s="410"/>
      <c r="N40" s="413"/>
      <c r="O40" s="412"/>
      <c r="P40" s="324"/>
      <c r="Q40" s="351" t="s">
        <v>655</v>
      </c>
    </row>
    <row r="41" spans="1:18" x14ac:dyDescent="0.25">
      <c r="A41" s="416"/>
      <c r="B41" s="344" t="s">
        <v>1181</v>
      </c>
      <c r="C41" s="410"/>
      <c r="D41" s="403"/>
      <c r="E41" s="378">
        <f>72-730-76950-1</f>
        <v>-77609</v>
      </c>
      <c r="F41" s="378"/>
      <c r="G41" s="402"/>
      <c r="H41" s="324">
        <f t="shared" ref="H41" si="12">SUM(C41:G41)</f>
        <v>-77609</v>
      </c>
      <c r="I41" s="378">
        <f>-72+730+76950+1</f>
        <v>77609</v>
      </c>
      <c r="J41" s="410"/>
      <c r="K41" s="413"/>
      <c r="L41" s="334">
        <f t="shared" ref="L41" si="13">SUM(I41:K41)</f>
        <v>77609</v>
      </c>
      <c r="M41" s="410"/>
      <c r="N41" s="413"/>
      <c r="O41" s="412"/>
      <c r="P41" s="324">
        <f t="shared" ref="P41" si="14">O41+L41+H41</f>
        <v>0</v>
      </c>
      <c r="Q41" s="351" t="s">
        <v>655</v>
      </c>
      <c r="R41" s="351" t="s">
        <v>655</v>
      </c>
    </row>
    <row r="42" spans="1:18" x14ac:dyDescent="0.25">
      <c r="A42" s="343"/>
      <c r="B42" s="345" t="s">
        <v>959</v>
      </c>
      <c r="C42" s="410"/>
      <c r="D42" s="410"/>
      <c r="E42" s="410"/>
      <c r="F42" s="410"/>
      <c r="G42" s="411"/>
      <c r="H42" s="334"/>
      <c r="I42" s="410"/>
      <c r="J42" s="410"/>
      <c r="K42" s="411"/>
      <c r="L42" s="334"/>
      <c r="M42" s="410"/>
      <c r="N42" s="411"/>
      <c r="O42" s="412"/>
      <c r="P42" s="334"/>
    </row>
    <row r="43" spans="1:18" x14ac:dyDescent="0.25">
      <c r="A43" s="416"/>
      <c r="B43" s="344" t="s">
        <v>1181</v>
      </c>
      <c r="C43" s="410"/>
      <c r="D43" s="403"/>
      <c r="E43" s="403">
        <v>27</v>
      </c>
      <c r="F43" s="403"/>
      <c r="G43" s="402"/>
      <c r="H43" s="324">
        <f t="shared" ref="H43" si="15">SUM(C43:G43)</f>
        <v>27</v>
      </c>
      <c r="I43" s="410">
        <f>14+161-27</f>
        <v>148</v>
      </c>
      <c r="J43" s="410"/>
      <c r="K43" s="413"/>
      <c r="L43" s="334">
        <f t="shared" ref="L43" si="16">SUM(I43:K43)</f>
        <v>148</v>
      </c>
      <c r="M43" s="410"/>
      <c r="N43" s="413"/>
      <c r="O43" s="412"/>
      <c r="P43" s="324">
        <f t="shared" ref="P43" si="17">O43+L43+H43</f>
        <v>175</v>
      </c>
      <c r="Q43" s="351" t="s">
        <v>655</v>
      </c>
      <c r="R43" s="351" t="s">
        <v>655</v>
      </c>
    </row>
    <row r="44" spans="1:18" s="326" customFormat="1" x14ac:dyDescent="0.25">
      <c r="A44" s="343" t="s">
        <v>483</v>
      </c>
      <c r="B44" s="347" t="s">
        <v>484</v>
      </c>
      <c r="C44" s="348"/>
      <c r="D44" s="348"/>
      <c r="E44" s="348"/>
      <c r="F44" s="348"/>
      <c r="G44" s="349"/>
      <c r="H44" s="334"/>
      <c r="I44" s="348"/>
      <c r="J44" s="348"/>
      <c r="K44" s="349"/>
      <c r="L44" s="334"/>
      <c r="M44" s="348"/>
      <c r="N44" s="349"/>
      <c r="O44" s="334"/>
      <c r="P44" s="334"/>
    </row>
    <row r="45" spans="1:18" x14ac:dyDescent="0.25">
      <c r="A45" s="343"/>
      <c r="B45" s="346" t="s">
        <v>86</v>
      </c>
      <c r="C45" s="410"/>
      <c r="D45" s="403"/>
      <c r="E45" s="403"/>
      <c r="F45" s="403"/>
      <c r="G45" s="411"/>
      <c r="H45" s="324"/>
      <c r="I45" s="410"/>
      <c r="J45" s="410"/>
      <c r="K45" s="413"/>
      <c r="L45" s="334"/>
      <c r="M45" s="410"/>
      <c r="N45" s="413"/>
      <c r="O45" s="412"/>
      <c r="P45" s="324"/>
    </row>
    <row r="46" spans="1:18" x14ac:dyDescent="0.25">
      <c r="A46" s="343"/>
      <c r="B46" s="345" t="s">
        <v>959</v>
      </c>
      <c r="C46" s="410"/>
      <c r="D46" s="410"/>
      <c r="E46" s="410"/>
      <c r="F46" s="410"/>
      <c r="G46" s="411"/>
      <c r="H46" s="334"/>
      <c r="I46" s="410"/>
      <c r="J46" s="410"/>
      <c r="K46" s="411"/>
      <c r="L46" s="334"/>
      <c r="M46" s="410"/>
      <c r="N46" s="411"/>
      <c r="O46" s="412"/>
      <c r="P46" s="334"/>
    </row>
    <row r="47" spans="1:18" x14ac:dyDescent="0.25">
      <c r="A47" s="343"/>
      <c r="B47" s="377" t="s">
        <v>1165</v>
      </c>
      <c r="C47" s="410"/>
      <c r="D47" s="410"/>
      <c r="E47" s="410">
        <v>308</v>
      </c>
      <c r="F47" s="410"/>
      <c r="G47" s="411"/>
      <c r="H47" s="334">
        <f t="shared" ref="H47" si="18">SUM(C47:G47)</f>
        <v>308</v>
      </c>
      <c r="I47" s="410"/>
      <c r="J47" s="348"/>
      <c r="K47" s="411"/>
      <c r="L47" s="334">
        <f t="shared" ref="L47" si="19">SUM(I47:K47)</f>
        <v>0</v>
      </c>
      <c r="M47" s="410"/>
      <c r="N47" s="411"/>
      <c r="O47" s="412"/>
      <c r="P47" s="334">
        <f t="shared" ref="P47" si="20">O47+L47+H47</f>
        <v>308</v>
      </c>
      <c r="Q47" s="351" t="s">
        <v>655</v>
      </c>
      <c r="R47" s="351" t="s">
        <v>655</v>
      </c>
    </row>
    <row r="48" spans="1:18" x14ac:dyDescent="0.25">
      <c r="A48" s="343"/>
      <c r="B48" s="345" t="s">
        <v>668</v>
      </c>
      <c r="C48" s="410"/>
      <c r="D48" s="410"/>
      <c r="E48" s="378"/>
      <c r="F48" s="410"/>
      <c r="G48" s="411"/>
      <c r="H48" s="324"/>
      <c r="I48" s="410"/>
      <c r="J48" s="322"/>
      <c r="K48" s="411"/>
      <c r="L48" s="334"/>
      <c r="M48" s="410"/>
      <c r="N48" s="411"/>
      <c r="O48" s="412"/>
      <c r="P48" s="324"/>
    </row>
    <row r="49" spans="1:18" x14ac:dyDescent="0.25">
      <c r="A49" s="414"/>
      <c r="B49" s="344"/>
      <c r="C49" s="378"/>
      <c r="D49" s="378"/>
      <c r="E49" s="378"/>
      <c r="F49" s="378"/>
      <c r="G49" s="402"/>
      <c r="H49" s="324"/>
      <c r="I49" s="322"/>
      <c r="J49" s="322"/>
      <c r="K49" s="402"/>
      <c r="L49" s="334"/>
      <c r="M49" s="322"/>
      <c r="N49" s="323"/>
      <c r="O49" s="324"/>
      <c r="P49" s="324"/>
    </row>
    <row r="50" spans="1:18" s="326" customFormat="1" x14ac:dyDescent="0.25">
      <c r="A50" s="343" t="s">
        <v>87</v>
      </c>
      <c r="B50" s="347" t="s">
        <v>65</v>
      </c>
      <c r="C50" s="348"/>
      <c r="D50" s="348"/>
      <c r="E50" s="348"/>
      <c r="F50" s="348"/>
      <c r="G50" s="348"/>
      <c r="H50" s="334"/>
      <c r="I50" s="348"/>
      <c r="J50" s="348"/>
      <c r="K50" s="348"/>
      <c r="L50" s="334"/>
      <c r="M50" s="348"/>
      <c r="N50" s="348"/>
      <c r="O50" s="334"/>
      <c r="P50" s="324"/>
    </row>
    <row r="51" spans="1:18" s="342" customFormat="1" x14ac:dyDescent="0.25">
      <c r="A51" s="337"/>
      <c r="B51" s="345" t="s">
        <v>845</v>
      </c>
      <c r="C51" s="338"/>
      <c r="D51" s="338"/>
      <c r="E51" s="338"/>
      <c r="F51" s="338"/>
      <c r="G51" s="339"/>
      <c r="H51" s="340"/>
      <c r="I51" s="338"/>
      <c r="J51" s="338"/>
      <c r="K51" s="339"/>
      <c r="L51" s="341"/>
      <c r="M51" s="338"/>
      <c r="N51" s="339"/>
      <c r="O51" s="340"/>
      <c r="P51" s="340"/>
    </row>
    <row r="52" spans="1:18" ht="47.25" x14ac:dyDescent="0.25">
      <c r="A52" s="414"/>
      <c r="B52" s="821" t="s">
        <v>1057</v>
      </c>
      <c r="C52" s="378"/>
      <c r="D52" s="378"/>
      <c r="E52" s="378">
        <v>93</v>
      </c>
      <c r="F52" s="378"/>
      <c r="G52" s="402"/>
      <c r="H52" s="324">
        <f>SUM(C52:G52)</f>
        <v>93</v>
      </c>
      <c r="I52" s="378"/>
      <c r="J52" s="322"/>
      <c r="K52" s="402"/>
      <c r="L52" s="334">
        <f>SUM(I52:K52)</f>
        <v>0</v>
      </c>
      <c r="M52" s="322"/>
      <c r="N52" s="323"/>
      <c r="O52" s="324"/>
      <c r="P52" s="324">
        <f>O52+L52+H52</f>
        <v>93</v>
      </c>
      <c r="Q52" s="351" t="s">
        <v>655</v>
      </c>
      <c r="R52" s="351" t="s">
        <v>652</v>
      </c>
    </row>
    <row r="53" spans="1:18" s="326" customFormat="1" x14ac:dyDescent="0.25">
      <c r="A53" s="343" t="s">
        <v>91</v>
      </c>
      <c r="B53" s="347" t="s">
        <v>43</v>
      </c>
      <c r="C53" s="348"/>
      <c r="D53" s="348"/>
      <c r="E53" s="348"/>
      <c r="F53" s="348"/>
      <c r="G53" s="348"/>
      <c r="H53" s="334"/>
      <c r="I53" s="348"/>
      <c r="J53" s="348"/>
      <c r="K53" s="348"/>
      <c r="L53" s="334"/>
      <c r="M53" s="348"/>
      <c r="N53" s="348"/>
      <c r="O53" s="334"/>
      <c r="P53" s="324"/>
    </row>
    <row r="54" spans="1:18" x14ac:dyDescent="0.25">
      <c r="A54" s="343"/>
      <c r="B54" s="346" t="s">
        <v>92</v>
      </c>
      <c r="C54" s="410"/>
      <c r="D54" s="403"/>
      <c r="E54" s="403"/>
      <c r="F54" s="403"/>
      <c r="G54" s="411"/>
      <c r="H54" s="334"/>
      <c r="I54" s="410"/>
      <c r="J54" s="410"/>
      <c r="K54" s="413"/>
      <c r="L54" s="334"/>
      <c r="M54" s="410"/>
      <c r="N54" s="413"/>
      <c r="O54" s="412"/>
      <c r="P54" s="334"/>
    </row>
    <row r="55" spans="1:18" x14ac:dyDescent="0.25">
      <c r="A55" s="343"/>
      <c r="B55" s="346" t="s">
        <v>94</v>
      </c>
      <c r="C55" s="410"/>
      <c r="D55" s="403"/>
      <c r="E55" s="403"/>
      <c r="F55" s="403"/>
      <c r="G55" s="411"/>
      <c r="H55" s="324"/>
      <c r="I55" s="410"/>
      <c r="J55" s="410"/>
      <c r="K55" s="413"/>
      <c r="L55" s="334"/>
      <c r="M55" s="410"/>
      <c r="N55" s="413"/>
      <c r="O55" s="412"/>
      <c r="P55" s="324"/>
    </row>
    <row r="56" spans="1:18" x14ac:dyDescent="0.25">
      <c r="A56" s="343"/>
      <c r="B56" s="345" t="s">
        <v>668</v>
      </c>
      <c r="C56" s="410"/>
      <c r="D56" s="403"/>
      <c r="E56" s="403"/>
      <c r="F56" s="403"/>
      <c r="G56" s="411"/>
      <c r="H56" s="324"/>
      <c r="I56" s="410"/>
      <c r="J56" s="410"/>
      <c r="K56" s="413"/>
      <c r="L56" s="334"/>
      <c r="M56" s="410"/>
      <c r="N56" s="413"/>
      <c r="O56" s="412"/>
      <c r="P56" s="324"/>
    </row>
    <row r="57" spans="1:18" x14ac:dyDescent="0.25">
      <c r="A57" s="343" t="s">
        <v>1196</v>
      </c>
      <c r="B57" s="377" t="s">
        <v>1197</v>
      </c>
      <c r="C57" s="410">
        <v>-950</v>
      </c>
      <c r="D57" s="403">
        <v>-91</v>
      </c>
      <c r="E57" s="403">
        <v>-450</v>
      </c>
      <c r="F57" s="403"/>
      <c r="G57" s="411">
        <v>1491</v>
      </c>
      <c r="H57" s="324">
        <f t="shared" ref="H57" si="21">SUM(C57:G57)</f>
        <v>0</v>
      </c>
      <c r="I57" s="410"/>
      <c r="J57" s="410"/>
      <c r="K57" s="413"/>
      <c r="L57" s="334">
        <f t="shared" ref="L57" si="22">SUM(I57:K57)</f>
        <v>0</v>
      </c>
      <c r="M57" s="410"/>
      <c r="N57" s="413"/>
      <c r="O57" s="412"/>
      <c r="P57" s="324">
        <f t="shared" ref="P57" si="23">O57+L57+H57</f>
        <v>0</v>
      </c>
      <c r="Q57" s="351" t="s">
        <v>655</v>
      </c>
      <c r="R57" s="351" t="s">
        <v>652</v>
      </c>
    </row>
    <row r="58" spans="1:18" ht="15" customHeight="1" x14ac:dyDescent="0.25">
      <c r="A58" s="343"/>
      <c r="B58" s="346" t="s">
        <v>95</v>
      </c>
      <c r="C58" s="410"/>
      <c r="D58" s="403"/>
      <c r="E58" s="403"/>
      <c r="F58" s="403"/>
      <c r="G58" s="411"/>
      <c r="H58" s="324"/>
      <c r="I58" s="410"/>
      <c r="J58" s="410"/>
      <c r="K58" s="413"/>
      <c r="L58" s="334"/>
      <c r="M58" s="410"/>
      <c r="N58" s="413"/>
      <c r="O58" s="412"/>
      <c r="P58" s="324"/>
    </row>
    <row r="59" spans="1:18" x14ac:dyDescent="0.25">
      <c r="A59" s="343"/>
      <c r="B59" s="345" t="s">
        <v>668</v>
      </c>
      <c r="C59" s="410"/>
      <c r="D59" s="403"/>
      <c r="E59" s="403"/>
      <c r="F59" s="403"/>
      <c r="G59" s="411"/>
      <c r="H59" s="324"/>
      <c r="I59" s="410"/>
      <c r="J59" s="410"/>
      <c r="K59" s="413"/>
      <c r="L59" s="334"/>
      <c r="M59" s="410"/>
      <c r="N59" s="413"/>
      <c r="O59" s="412"/>
      <c r="P59" s="324"/>
    </row>
    <row r="60" spans="1:18" x14ac:dyDescent="0.25">
      <c r="A60" s="343"/>
      <c r="B60" s="377" t="s">
        <v>844</v>
      </c>
      <c r="C60" s="410"/>
      <c r="D60" s="403">
        <v>-702</v>
      </c>
      <c r="E60" s="403">
        <v>702</v>
      </c>
      <c r="F60" s="403"/>
      <c r="G60" s="411"/>
      <c r="H60" s="324">
        <f t="shared" ref="H60" si="24">SUM(C60:G60)</f>
        <v>0</v>
      </c>
      <c r="I60" s="410"/>
      <c r="J60" s="410"/>
      <c r="K60" s="413"/>
      <c r="L60" s="334">
        <f t="shared" ref="L60" si="25">SUM(I60:K60)</f>
        <v>0</v>
      </c>
      <c r="M60" s="410"/>
      <c r="N60" s="413"/>
      <c r="O60" s="412"/>
      <c r="P60" s="324">
        <f t="shared" ref="P60" si="26">O60+L60+H60</f>
        <v>0</v>
      </c>
      <c r="Q60" s="351" t="s">
        <v>655</v>
      </c>
      <c r="R60" s="351" t="s">
        <v>655</v>
      </c>
    </row>
    <row r="61" spans="1:18" x14ac:dyDescent="0.25">
      <c r="A61" s="343"/>
      <c r="B61" s="377"/>
      <c r="C61" s="410"/>
      <c r="D61" s="403"/>
      <c r="E61" s="403"/>
      <c r="F61" s="403"/>
      <c r="G61" s="403"/>
      <c r="H61" s="324"/>
      <c r="I61" s="410"/>
      <c r="J61" s="410"/>
      <c r="K61" s="413"/>
      <c r="L61" s="334"/>
      <c r="M61" s="410"/>
      <c r="N61" s="413"/>
      <c r="O61" s="412"/>
      <c r="P61" s="324"/>
    </row>
    <row r="62" spans="1:18" ht="16.5" customHeight="1" x14ac:dyDescent="0.25">
      <c r="A62" s="343" t="s">
        <v>96</v>
      </c>
      <c r="B62" s="353" t="s">
        <v>826</v>
      </c>
      <c r="C62" s="410"/>
      <c r="D62" s="403"/>
      <c r="E62" s="403"/>
      <c r="F62" s="403"/>
      <c r="G62" s="411"/>
      <c r="H62" s="324"/>
      <c r="I62" s="410"/>
      <c r="J62" s="410"/>
      <c r="K62" s="413"/>
      <c r="L62" s="334"/>
      <c r="M62" s="410"/>
      <c r="N62" s="413"/>
      <c r="O62" s="412"/>
      <c r="P62" s="324"/>
    </row>
    <row r="63" spans="1:18" x14ac:dyDescent="0.25">
      <c r="A63" s="343" t="s">
        <v>97</v>
      </c>
      <c r="B63" s="353" t="s">
        <v>304</v>
      </c>
      <c r="C63" s="410"/>
      <c r="D63" s="403"/>
      <c r="E63" s="403"/>
      <c r="F63" s="403"/>
      <c r="G63" s="411"/>
      <c r="H63" s="334"/>
      <c r="I63" s="410"/>
      <c r="J63" s="410"/>
      <c r="K63" s="413"/>
      <c r="L63" s="334"/>
      <c r="M63" s="410"/>
      <c r="N63" s="413"/>
      <c r="O63" s="412"/>
      <c r="P63" s="334"/>
    </row>
    <row r="64" spans="1:18" x14ac:dyDescent="0.25">
      <c r="A64" s="343"/>
      <c r="B64" s="353" t="s">
        <v>951</v>
      </c>
      <c r="C64" s="410"/>
      <c r="D64" s="403"/>
      <c r="E64" s="403"/>
      <c r="F64" s="403"/>
      <c r="G64" s="411"/>
      <c r="H64" s="334"/>
      <c r="I64" s="410"/>
      <c r="J64" s="410"/>
      <c r="K64" s="413"/>
      <c r="L64" s="334"/>
      <c r="M64" s="410"/>
      <c r="N64" s="413"/>
      <c r="O64" s="412"/>
      <c r="P64" s="334"/>
    </row>
    <row r="65" spans="1:18" x14ac:dyDescent="0.25">
      <c r="A65" s="416"/>
      <c r="B65" s="556" t="s">
        <v>959</v>
      </c>
      <c r="C65" s="410"/>
      <c r="D65" s="403"/>
      <c r="E65" s="403"/>
      <c r="F65" s="413"/>
      <c r="G65" s="413"/>
      <c r="H65" s="334"/>
      <c r="I65" s="410"/>
      <c r="J65" s="410"/>
      <c r="K65" s="413"/>
      <c r="L65" s="334"/>
      <c r="M65" s="410"/>
      <c r="N65" s="413"/>
      <c r="O65" s="412"/>
      <c r="P65" s="324"/>
    </row>
    <row r="66" spans="1:18" x14ac:dyDescent="0.25">
      <c r="A66" s="343"/>
      <c r="B66" s="344" t="s">
        <v>1161</v>
      </c>
      <c r="C66" s="410"/>
      <c r="D66" s="403"/>
      <c r="E66" s="410">
        <f>-70-59+1</f>
        <v>-128</v>
      </c>
      <c r="F66" s="403"/>
      <c r="G66" s="403"/>
      <c r="H66" s="324">
        <f t="shared" ref="H66" si="27">SUM(C66:G66)</f>
        <v>-128</v>
      </c>
      <c r="I66" s="410"/>
      <c r="J66" s="410"/>
      <c r="K66" s="413"/>
      <c r="L66" s="334">
        <f t="shared" ref="L66" si="28">SUM(I66:K66)</f>
        <v>0</v>
      </c>
      <c r="M66" s="410"/>
      <c r="N66" s="413"/>
      <c r="O66" s="412"/>
      <c r="P66" s="324">
        <f t="shared" ref="P66" si="29">O66+L66+H66</f>
        <v>-128</v>
      </c>
      <c r="Q66" s="351" t="s">
        <v>652</v>
      </c>
      <c r="R66" s="351" t="s">
        <v>655</v>
      </c>
    </row>
    <row r="67" spans="1:18" x14ac:dyDescent="0.25">
      <c r="A67" s="343"/>
      <c r="B67" s="345" t="s">
        <v>668</v>
      </c>
      <c r="C67" s="410"/>
      <c r="D67" s="403"/>
      <c r="E67" s="403"/>
      <c r="F67" s="403"/>
      <c r="G67" s="411"/>
      <c r="H67" s="324"/>
      <c r="I67" s="410"/>
      <c r="J67" s="410"/>
      <c r="K67" s="413"/>
      <c r="L67" s="334"/>
      <c r="M67" s="410"/>
      <c r="N67" s="413"/>
      <c r="O67" s="412"/>
      <c r="P67" s="324"/>
    </row>
    <row r="68" spans="1:18" x14ac:dyDescent="0.25">
      <c r="A68" s="343"/>
      <c r="B68" s="344" t="s">
        <v>1161</v>
      </c>
      <c r="C68" s="410"/>
      <c r="D68" s="403"/>
      <c r="E68" s="403">
        <f>-1411+15+4</f>
        <v>-1392</v>
      </c>
      <c r="F68" s="403"/>
      <c r="G68" s="403"/>
      <c r="H68" s="324">
        <f t="shared" ref="H68" si="30">SUM(C68:G68)</f>
        <v>-1392</v>
      </c>
      <c r="I68" s="410">
        <f>1411-15-4</f>
        <v>1392</v>
      </c>
      <c r="J68" s="410"/>
      <c r="K68" s="413"/>
      <c r="L68" s="334">
        <f t="shared" ref="L68" si="31">SUM(I68:K68)</f>
        <v>1392</v>
      </c>
      <c r="M68" s="410"/>
      <c r="N68" s="413"/>
      <c r="O68" s="412"/>
      <c r="P68" s="324">
        <f t="shared" ref="P68" si="32">O68+L68+H68</f>
        <v>0</v>
      </c>
      <c r="Q68" s="351" t="s">
        <v>652</v>
      </c>
      <c r="R68" s="351" t="s">
        <v>655</v>
      </c>
    </row>
    <row r="69" spans="1:18" x14ac:dyDescent="0.25">
      <c r="A69" s="343"/>
      <c r="B69" s="353" t="s">
        <v>98</v>
      </c>
      <c r="C69" s="410"/>
      <c r="D69" s="403"/>
      <c r="E69" s="403"/>
      <c r="F69" s="403"/>
      <c r="G69" s="411"/>
      <c r="H69" s="324"/>
      <c r="I69" s="410"/>
      <c r="J69" s="410"/>
      <c r="K69" s="413"/>
      <c r="L69" s="334"/>
      <c r="M69" s="410"/>
      <c r="N69" s="413"/>
      <c r="O69" s="412"/>
      <c r="P69" s="324"/>
    </row>
    <row r="70" spans="1:18" x14ac:dyDescent="0.25">
      <c r="A70" s="343"/>
      <c r="B70" s="345" t="s">
        <v>668</v>
      </c>
      <c r="C70" s="410"/>
      <c r="D70" s="403"/>
      <c r="E70" s="403"/>
      <c r="F70" s="403"/>
      <c r="G70" s="411"/>
      <c r="H70" s="324"/>
      <c r="I70" s="410"/>
      <c r="J70" s="410"/>
      <c r="K70" s="413"/>
      <c r="L70" s="334"/>
      <c r="M70" s="410"/>
      <c r="N70" s="413"/>
      <c r="O70" s="412"/>
      <c r="P70" s="324"/>
    </row>
    <row r="71" spans="1:18" x14ac:dyDescent="0.25">
      <c r="A71" s="343"/>
      <c r="B71" s="344" t="s">
        <v>1198</v>
      </c>
      <c r="C71" s="410">
        <v>8</v>
      </c>
      <c r="D71" s="403">
        <v>-108</v>
      </c>
      <c r="E71" s="403"/>
      <c r="F71" s="403"/>
      <c r="G71" s="403"/>
      <c r="H71" s="324">
        <f t="shared" ref="H71" si="33">SUM(C71:G71)</f>
        <v>-100</v>
      </c>
      <c r="I71" s="410"/>
      <c r="J71" s="410"/>
      <c r="K71" s="413">
        <v>100</v>
      </c>
      <c r="L71" s="334">
        <f t="shared" ref="L71" si="34">SUM(I71:K71)</f>
        <v>100</v>
      </c>
      <c r="M71" s="410"/>
      <c r="N71" s="413"/>
      <c r="O71" s="412"/>
      <c r="P71" s="324">
        <f t="shared" ref="P71" si="35">O71+L71+H71</f>
        <v>0</v>
      </c>
      <c r="Q71" s="351" t="s">
        <v>652</v>
      </c>
      <c r="R71" s="351" t="s">
        <v>652</v>
      </c>
    </row>
    <row r="72" spans="1:18" x14ac:dyDescent="0.25">
      <c r="A72" s="343"/>
      <c r="B72" s="353" t="s">
        <v>99</v>
      </c>
      <c r="C72" s="410"/>
      <c r="D72" s="403"/>
      <c r="E72" s="403"/>
      <c r="F72" s="403"/>
      <c r="G72" s="411"/>
      <c r="H72" s="324"/>
      <c r="I72" s="410"/>
      <c r="J72" s="410"/>
      <c r="K72" s="413"/>
      <c r="L72" s="334"/>
      <c r="M72" s="410"/>
      <c r="N72" s="413"/>
      <c r="O72" s="412"/>
      <c r="P72" s="324"/>
    </row>
    <row r="73" spans="1:18" x14ac:dyDescent="0.25">
      <c r="A73" s="343"/>
      <c r="B73" s="345" t="s">
        <v>990</v>
      </c>
      <c r="C73" s="410"/>
      <c r="D73" s="403"/>
      <c r="E73" s="403"/>
      <c r="F73" s="403"/>
      <c r="G73" s="411"/>
      <c r="H73" s="324"/>
      <c r="I73" s="410"/>
      <c r="J73" s="410"/>
      <c r="K73" s="413"/>
      <c r="L73" s="334"/>
      <c r="M73" s="410"/>
      <c r="N73" s="413"/>
      <c r="O73" s="412"/>
      <c r="P73" s="324"/>
    </row>
    <row r="74" spans="1:18" x14ac:dyDescent="0.25">
      <c r="A74" s="343"/>
      <c r="B74" s="377" t="s">
        <v>1199</v>
      </c>
      <c r="C74" s="410"/>
      <c r="D74" s="403"/>
      <c r="E74" s="403"/>
      <c r="F74" s="403"/>
      <c r="G74" s="411">
        <f>65+110+200+250</f>
        <v>625</v>
      </c>
      <c r="H74" s="334">
        <f t="shared" ref="H74" si="36">SUM(C74:G74)</f>
        <v>625</v>
      </c>
      <c r="I74" s="410"/>
      <c r="J74" s="410"/>
      <c r="K74" s="413"/>
      <c r="L74" s="334">
        <f t="shared" ref="L74" si="37">SUM(I74:K74)</f>
        <v>0</v>
      </c>
      <c r="M74" s="410"/>
      <c r="N74" s="413"/>
      <c r="O74" s="412"/>
      <c r="P74" s="334">
        <f t="shared" ref="P74" si="38">O74+L74+H74</f>
        <v>625</v>
      </c>
      <c r="Q74" s="351" t="s">
        <v>777</v>
      </c>
      <c r="R74" s="351" t="s">
        <v>652</v>
      </c>
    </row>
    <row r="75" spans="1:18" x14ac:dyDescent="0.25">
      <c r="A75" s="343"/>
      <c r="B75" s="345" t="s">
        <v>911</v>
      </c>
      <c r="C75" s="410"/>
      <c r="D75" s="403"/>
      <c r="E75" s="403"/>
      <c r="F75" s="403"/>
      <c r="G75" s="411"/>
      <c r="H75" s="334"/>
      <c r="I75" s="410"/>
      <c r="J75" s="410"/>
      <c r="K75" s="413"/>
      <c r="L75" s="334"/>
      <c r="M75" s="410"/>
      <c r="N75" s="413"/>
      <c r="O75" s="412"/>
      <c r="P75" s="334"/>
    </row>
    <row r="76" spans="1:18" ht="81" customHeight="1" x14ac:dyDescent="0.25">
      <c r="A76" s="343"/>
      <c r="B76" s="377" t="s">
        <v>1212</v>
      </c>
      <c r="C76" s="410"/>
      <c r="D76" s="403"/>
      <c r="E76" s="403"/>
      <c r="F76" s="403"/>
      <c r="G76" s="411">
        <v>-100</v>
      </c>
      <c r="H76" s="324">
        <f t="shared" ref="H76" si="39">SUM(C76:G76)</f>
        <v>-100</v>
      </c>
      <c r="I76" s="410"/>
      <c r="J76" s="410"/>
      <c r="K76" s="413"/>
      <c r="L76" s="334">
        <f t="shared" ref="L76" si="40">SUM(I76:K76)</f>
        <v>0</v>
      </c>
      <c r="M76" s="410"/>
      <c r="N76" s="413"/>
      <c r="O76" s="412"/>
      <c r="P76" s="324">
        <f t="shared" ref="P76" si="41">O76+L76+H76</f>
        <v>-100</v>
      </c>
      <c r="Q76" s="351" t="s">
        <v>777</v>
      </c>
      <c r="R76" s="351" t="s">
        <v>652</v>
      </c>
    </row>
    <row r="77" spans="1:18" ht="16.5" thickBot="1" x14ac:dyDescent="0.3">
      <c r="A77" s="343"/>
      <c r="B77" s="344"/>
      <c r="C77" s="410"/>
      <c r="D77" s="403"/>
      <c r="E77" s="403"/>
      <c r="F77" s="403"/>
      <c r="G77" s="411"/>
      <c r="H77" s="324"/>
      <c r="I77" s="410"/>
      <c r="J77" s="410"/>
      <c r="K77" s="413"/>
      <c r="L77" s="334"/>
      <c r="M77" s="410"/>
      <c r="N77" s="413"/>
      <c r="O77" s="412"/>
      <c r="P77" s="324"/>
    </row>
    <row r="78" spans="1:18" ht="16.5" thickBot="1" x14ac:dyDescent="0.3">
      <c r="A78" s="354" t="s">
        <v>44</v>
      </c>
      <c r="B78" s="355" t="s">
        <v>45</v>
      </c>
      <c r="C78" s="356">
        <f t="shared" ref="C78:P78" si="42">SUM(C12:C77)</f>
        <v>361204</v>
      </c>
      <c r="D78" s="356">
        <f t="shared" si="42"/>
        <v>94456</v>
      </c>
      <c r="E78" s="356">
        <f t="shared" si="42"/>
        <v>9767780</v>
      </c>
      <c r="F78" s="356">
        <f t="shared" si="42"/>
        <v>220983</v>
      </c>
      <c r="G78" s="356">
        <f t="shared" si="42"/>
        <v>12419680</v>
      </c>
      <c r="H78" s="356">
        <f t="shared" si="42"/>
        <v>22864103</v>
      </c>
      <c r="I78" s="356">
        <f t="shared" si="42"/>
        <v>23457802</v>
      </c>
      <c r="J78" s="356">
        <f t="shared" si="42"/>
        <v>351447</v>
      </c>
      <c r="K78" s="356">
        <f t="shared" si="42"/>
        <v>2683933</v>
      </c>
      <c r="L78" s="356">
        <f t="shared" si="42"/>
        <v>26493182</v>
      </c>
      <c r="M78" s="356">
        <f t="shared" si="42"/>
        <v>221850</v>
      </c>
      <c r="N78" s="356">
        <f t="shared" si="42"/>
        <v>4194154</v>
      </c>
      <c r="O78" s="356">
        <f t="shared" si="42"/>
        <v>4416004</v>
      </c>
      <c r="P78" s="356">
        <f t="shared" si="42"/>
        <v>53773289</v>
      </c>
    </row>
    <row r="79" spans="1:18" x14ac:dyDescent="0.25">
      <c r="A79" s="414"/>
      <c r="B79" s="335" t="s">
        <v>74</v>
      </c>
      <c r="C79" s="378"/>
      <c r="D79" s="407"/>
      <c r="E79" s="407"/>
      <c r="F79" s="408"/>
      <c r="G79" s="408"/>
      <c r="H79" s="324"/>
      <c r="I79" s="378"/>
      <c r="J79" s="378"/>
      <c r="K79" s="408"/>
      <c r="L79" s="324"/>
      <c r="M79" s="322"/>
      <c r="N79" s="408"/>
      <c r="O79" s="409"/>
      <c r="P79" s="324"/>
      <c r="Q79" s="351" t="s">
        <v>843</v>
      </c>
    </row>
    <row r="80" spans="1:18" x14ac:dyDescent="0.25">
      <c r="A80" s="416"/>
      <c r="B80" s="404"/>
      <c r="C80" s="410"/>
      <c r="D80" s="403"/>
      <c r="E80" s="403"/>
      <c r="F80" s="413"/>
      <c r="G80" s="413"/>
      <c r="H80" s="334"/>
      <c r="I80" s="410"/>
      <c r="J80" s="410"/>
      <c r="K80" s="413"/>
      <c r="L80" s="334"/>
      <c r="M80" s="410"/>
      <c r="N80" s="413"/>
      <c r="O80" s="412"/>
      <c r="P80" s="324"/>
    </row>
    <row r="81" spans="1:16" x14ac:dyDescent="0.25">
      <c r="A81" s="416"/>
      <c r="B81" s="347" t="s">
        <v>46</v>
      </c>
      <c r="C81" s="410"/>
      <c r="D81" s="403"/>
      <c r="E81" s="403"/>
      <c r="F81" s="413"/>
      <c r="G81" s="413"/>
      <c r="H81" s="334"/>
      <c r="I81" s="410"/>
      <c r="J81" s="410"/>
      <c r="K81" s="413"/>
      <c r="L81" s="334"/>
      <c r="M81" s="410"/>
      <c r="N81" s="357"/>
      <c r="O81" s="334"/>
      <c r="P81" s="324"/>
    </row>
    <row r="82" spans="1:16" x14ac:dyDescent="0.25">
      <c r="A82" s="416"/>
      <c r="B82" s="556" t="s">
        <v>959</v>
      </c>
      <c r="C82" s="410"/>
      <c r="D82" s="403"/>
      <c r="E82" s="403"/>
      <c r="F82" s="413"/>
      <c r="G82" s="413"/>
      <c r="H82" s="334"/>
      <c r="I82" s="410"/>
      <c r="J82" s="410"/>
      <c r="K82" s="413"/>
      <c r="L82" s="334"/>
      <c r="M82" s="410"/>
      <c r="N82" s="413"/>
      <c r="O82" s="412"/>
      <c r="P82" s="324"/>
    </row>
    <row r="83" spans="1:16" ht="51.75" customHeight="1" x14ac:dyDescent="0.25">
      <c r="A83" s="416"/>
      <c r="B83" s="404" t="s">
        <v>1047</v>
      </c>
      <c r="C83" s="410"/>
      <c r="D83" s="403"/>
      <c r="E83" s="403"/>
      <c r="F83" s="413"/>
      <c r="G83" s="413"/>
      <c r="H83" s="334"/>
      <c r="I83" s="410"/>
      <c r="J83" s="410"/>
      <c r="K83" s="413"/>
      <c r="L83" s="334"/>
      <c r="M83" s="410"/>
      <c r="N83" s="413">
        <v>42344</v>
      </c>
      <c r="O83" s="412"/>
      <c r="P83" s="324"/>
    </row>
    <row r="84" spans="1:16" ht="78.75" x14ac:dyDescent="0.25">
      <c r="A84" s="416"/>
      <c r="B84" s="404" t="s">
        <v>1048</v>
      </c>
      <c r="C84" s="410"/>
      <c r="D84" s="403"/>
      <c r="E84" s="403"/>
      <c r="F84" s="413"/>
      <c r="G84" s="413"/>
      <c r="H84" s="334"/>
      <c r="I84" s="410"/>
      <c r="J84" s="410"/>
      <c r="K84" s="413"/>
      <c r="L84" s="334"/>
      <c r="M84" s="410"/>
      <c r="N84" s="413">
        <v>5093</v>
      </c>
      <c r="O84" s="412"/>
      <c r="P84" s="324"/>
    </row>
    <row r="85" spans="1:16" ht="63" x14ac:dyDescent="0.25">
      <c r="A85" s="416"/>
      <c r="B85" s="404" t="s">
        <v>1052</v>
      </c>
      <c r="C85" s="410"/>
      <c r="D85" s="403"/>
      <c r="E85" s="403"/>
      <c r="F85" s="413"/>
      <c r="G85" s="413"/>
      <c r="H85" s="334"/>
      <c r="I85" s="410"/>
      <c r="J85" s="410"/>
      <c r="K85" s="413"/>
      <c r="L85" s="334"/>
      <c r="M85" s="410"/>
      <c r="N85" s="413">
        <v>67864</v>
      </c>
      <c r="O85" s="412"/>
      <c r="P85" s="324"/>
    </row>
    <row r="86" spans="1:16" ht="47.25" x14ac:dyDescent="0.25">
      <c r="A86" s="416"/>
      <c r="B86" s="404" t="s">
        <v>1130</v>
      </c>
      <c r="C86" s="410"/>
      <c r="D86" s="403"/>
      <c r="E86" s="403"/>
      <c r="F86" s="413"/>
      <c r="G86" s="413"/>
      <c r="H86" s="334"/>
      <c r="I86" s="410"/>
      <c r="J86" s="410"/>
      <c r="K86" s="413"/>
      <c r="L86" s="334"/>
      <c r="M86" s="410"/>
      <c r="N86" s="413">
        <v>862</v>
      </c>
      <c r="O86" s="412"/>
      <c r="P86" s="324"/>
    </row>
    <row r="87" spans="1:16" ht="47.25" x14ac:dyDescent="0.25">
      <c r="A87" s="416"/>
      <c r="B87" s="404" t="s">
        <v>1131</v>
      </c>
      <c r="C87" s="410"/>
      <c r="D87" s="403"/>
      <c r="E87" s="403"/>
      <c r="F87" s="413"/>
      <c r="G87" s="413"/>
      <c r="H87" s="334"/>
      <c r="I87" s="410"/>
      <c r="J87" s="410"/>
      <c r="K87" s="413"/>
      <c r="L87" s="334"/>
      <c r="M87" s="410"/>
      <c r="N87" s="413">
        <v>1</v>
      </c>
      <c r="O87" s="412"/>
      <c r="P87" s="324"/>
    </row>
    <row r="88" spans="1:16" ht="94.5" x14ac:dyDescent="0.25">
      <c r="A88" s="416"/>
      <c r="B88" s="404" t="s">
        <v>1132</v>
      </c>
      <c r="C88" s="410"/>
      <c r="D88" s="403"/>
      <c r="E88" s="403"/>
      <c r="F88" s="413"/>
      <c r="G88" s="413"/>
      <c r="H88" s="334"/>
      <c r="I88" s="410"/>
      <c r="J88" s="410"/>
      <c r="K88" s="413"/>
      <c r="L88" s="334"/>
      <c r="M88" s="410"/>
      <c r="N88" s="413">
        <v>1</v>
      </c>
      <c r="O88" s="412"/>
      <c r="P88" s="324"/>
    </row>
    <row r="89" spans="1:16" ht="47.25" x14ac:dyDescent="0.25">
      <c r="A89" s="416"/>
      <c r="B89" s="404" t="s">
        <v>1133</v>
      </c>
      <c r="C89" s="410"/>
      <c r="D89" s="403"/>
      <c r="E89" s="403"/>
      <c r="F89" s="413"/>
      <c r="G89" s="413"/>
      <c r="H89" s="334"/>
      <c r="I89" s="410"/>
      <c r="J89" s="410"/>
      <c r="K89" s="413"/>
      <c r="L89" s="334"/>
      <c r="M89" s="410"/>
      <c r="N89" s="413">
        <v>1000</v>
      </c>
      <c r="O89" s="412"/>
      <c r="P89" s="334"/>
    </row>
    <row r="90" spans="1:16" ht="47.25" x14ac:dyDescent="0.25">
      <c r="A90" s="416"/>
      <c r="B90" s="404" t="s">
        <v>1134</v>
      </c>
      <c r="C90" s="410"/>
      <c r="D90" s="403"/>
      <c r="E90" s="403"/>
      <c r="F90" s="413"/>
      <c r="G90" s="413"/>
      <c r="H90" s="334"/>
      <c r="I90" s="410"/>
      <c r="J90" s="410"/>
      <c r="K90" s="413"/>
      <c r="L90" s="334"/>
      <c r="M90" s="410"/>
      <c r="N90" s="413">
        <v>1</v>
      </c>
      <c r="O90" s="412"/>
      <c r="P90" s="334"/>
    </row>
    <row r="91" spans="1:16" ht="47.25" x14ac:dyDescent="0.25">
      <c r="A91" s="416"/>
      <c r="B91" s="404" t="s">
        <v>1135</v>
      </c>
      <c r="C91" s="410"/>
      <c r="D91" s="403"/>
      <c r="E91" s="403"/>
      <c r="F91" s="413"/>
      <c r="G91" s="413"/>
      <c r="H91" s="334"/>
      <c r="I91" s="410"/>
      <c r="J91" s="410"/>
      <c r="K91" s="413"/>
      <c r="L91" s="334"/>
      <c r="M91" s="410"/>
      <c r="N91" s="413">
        <v>-12</v>
      </c>
      <c r="O91" s="412"/>
      <c r="P91" s="324"/>
    </row>
    <row r="92" spans="1:16" ht="31.5" x14ac:dyDescent="0.25">
      <c r="A92" s="416"/>
      <c r="B92" s="404" t="s">
        <v>1136</v>
      </c>
      <c r="C92" s="410"/>
      <c r="D92" s="403"/>
      <c r="E92" s="403"/>
      <c r="F92" s="413"/>
      <c r="G92" s="413"/>
      <c r="H92" s="334"/>
      <c r="I92" s="410"/>
      <c r="J92" s="410"/>
      <c r="K92" s="413"/>
      <c r="L92" s="334"/>
      <c r="M92" s="410"/>
      <c r="N92" s="413">
        <v>-11315</v>
      </c>
      <c r="O92" s="412"/>
      <c r="P92" s="324"/>
    </row>
    <row r="93" spans="1:16" ht="31.5" x14ac:dyDescent="0.25">
      <c r="A93" s="416"/>
      <c r="B93" s="404" t="s">
        <v>1137</v>
      </c>
      <c r="C93" s="410"/>
      <c r="D93" s="403"/>
      <c r="E93" s="403"/>
      <c r="F93" s="413"/>
      <c r="G93" s="413"/>
      <c r="H93" s="334"/>
      <c r="I93" s="410"/>
      <c r="J93" s="410"/>
      <c r="K93" s="413"/>
      <c r="L93" s="334"/>
      <c r="M93" s="410"/>
      <c r="N93" s="413">
        <v>1301231</v>
      </c>
      <c r="O93" s="412"/>
      <c r="P93" s="324"/>
    </row>
    <row r="94" spans="1:16" ht="31.5" x14ac:dyDescent="0.25">
      <c r="A94" s="416"/>
      <c r="B94" s="404" t="s">
        <v>1139</v>
      </c>
      <c r="C94" s="410"/>
      <c r="D94" s="403"/>
      <c r="E94" s="403"/>
      <c r="F94" s="413"/>
      <c r="G94" s="413"/>
      <c r="H94" s="334"/>
      <c r="I94" s="410"/>
      <c r="J94" s="410"/>
      <c r="K94" s="413"/>
      <c r="L94" s="334"/>
      <c r="M94" s="410"/>
      <c r="N94" s="413">
        <v>50</v>
      </c>
      <c r="O94" s="412"/>
      <c r="P94" s="324"/>
    </row>
    <row r="95" spans="1:16" ht="47.25" x14ac:dyDescent="0.25">
      <c r="A95" s="416"/>
      <c r="B95" s="404" t="s">
        <v>1140</v>
      </c>
      <c r="C95" s="410"/>
      <c r="D95" s="403"/>
      <c r="E95" s="403"/>
      <c r="F95" s="413"/>
      <c r="G95" s="413"/>
      <c r="H95" s="334"/>
      <c r="I95" s="410"/>
      <c r="J95" s="410"/>
      <c r="K95" s="413"/>
      <c r="L95" s="334"/>
      <c r="M95" s="410"/>
      <c r="N95" s="413">
        <v>1970</v>
      </c>
      <c r="O95" s="412"/>
      <c r="P95" s="324"/>
    </row>
    <row r="96" spans="1:16" ht="47.25" x14ac:dyDescent="0.25">
      <c r="A96" s="416"/>
      <c r="B96" s="404" t="s">
        <v>1141</v>
      </c>
      <c r="C96" s="410"/>
      <c r="D96" s="403"/>
      <c r="E96" s="403"/>
      <c r="F96" s="413"/>
      <c r="G96" s="413"/>
      <c r="H96" s="334"/>
      <c r="I96" s="410"/>
      <c r="J96" s="410"/>
      <c r="K96" s="413"/>
      <c r="L96" s="334"/>
      <c r="M96" s="410"/>
      <c r="N96" s="413">
        <v>-292</v>
      </c>
      <c r="O96" s="412"/>
      <c r="P96" s="334"/>
    </row>
    <row r="97" spans="1:19" ht="31.5" x14ac:dyDescent="0.25">
      <c r="A97" s="416"/>
      <c r="B97" s="404" t="s">
        <v>1142</v>
      </c>
      <c r="C97" s="410"/>
      <c r="D97" s="403"/>
      <c r="E97" s="403"/>
      <c r="F97" s="413"/>
      <c r="G97" s="413"/>
      <c r="H97" s="334"/>
      <c r="I97" s="410"/>
      <c r="J97" s="410"/>
      <c r="K97" s="413"/>
      <c r="L97" s="334"/>
      <c r="M97" s="410"/>
      <c r="N97" s="413">
        <v>540</v>
      </c>
      <c r="O97" s="412"/>
      <c r="P97" s="324"/>
    </row>
    <row r="98" spans="1:19" ht="31.5" x14ac:dyDescent="0.25">
      <c r="A98" s="416"/>
      <c r="B98" s="404" t="s">
        <v>1143</v>
      </c>
      <c r="C98" s="410"/>
      <c r="D98" s="403"/>
      <c r="E98" s="403"/>
      <c r="F98" s="413"/>
      <c r="G98" s="413"/>
      <c r="H98" s="334"/>
      <c r="I98" s="410"/>
      <c r="J98" s="410"/>
      <c r="K98" s="413"/>
      <c r="L98" s="334"/>
      <c r="M98" s="410"/>
      <c r="N98" s="413">
        <v>25</v>
      </c>
      <c r="O98" s="412"/>
      <c r="P98" s="334"/>
    </row>
    <row r="99" spans="1:19" ht="31.5" x14ac:dyDescent="0.25">
      <c r="A99" s="416"/>
      <c r="B99" s="404" t="s">
        <v>1144</v>
      </c>
      <c r="C99" s="410"/>
      <c r="D99" s="403"/>
      <c r="E99" s="403"/>
      <c r="F99" s="413"/>
      <c r="G99" s="413"/>
      <c r="H99" s="334"/>
      <c r="I99" s="410"/>
      <c r="J99" s="410"/>
      <c r="K99" s="413"/>
      <c r="L99" s="334"/>
      <c r="M99" s="410"/>
      <c r="N99" s="413">
        <v>1</v>
      </c>
      <c r="O99" s="412"/>
      <c r="P99" s="334"/>
    </row>
    <row r="100" spans="1:19" ht="44.25" customHeight="1" x14ac:dyDescent="0.25">
      <c r="A100" s="416"/>
      <c r="B100" s="404" t="s">
        <v>1145</v>
      </c>
      <c r="C100" s="410"/>
      <c r="D100" s="403"/>
      <c r="E100" s="403"/>
      <c r="F100" s="413"/>
      <c r="G100" s="413"/>
      <c r="H100" s="334"/>
      <c r="I100" s="410"/>
      <c r="J100" s="410"/>
      <c r="K100" s="413"/>
      <c r="L100" s="334"/>
      <c r="M100" s="410"/>
      <c r="N100" s="413">
        <f>-10466+10</f>
        <v>-10456</v>
      </c>
      <c r="O100" s="412"/>
      <c r="P100" s="334"/>
    </row>
    <row r="101" spans="1:19" ht="47.25" x14ac:dyDescent="0.25">
      <c r="A101" s="416"/>
      <c r="B101" s="404" t="s">
        <v>1146</v>
      </c>
      <c r="C101" s="410"/>
      <c r="D101" s="403"/>
      <c r="E101" s="403"/>
      <c r="F101" s="413"/>
      <c r="G101" s="413"/>
      <c r="H101" s="334"/>
      <c r="I101" s="410"/>
      <c r="J101" s="410"/>
      <c r="K101" s="413"/>
      <c r="L101" s="334"/>
      <c r="M101" s="410"/>
      <c r="N101" s="413">
        <v>-48590</v>
      </c>
      <c r="O101" s="412"/>
      <c r="P101" s="334"/>
    </row>
    <row r="102" spans="1:19" ht="47.25" x14ac:dyDescent="0.25">
      <c r="A102" s="416"/>
      <c r="B102" s="404" t="s">
        <v>1147</v>
      </c>
      <c r="C102" s="410"/>
      <c r="D102" s="403"/>
      <c r="E102" s="403"/>
      <c r="F102" s="413"/>
      <c r="G102" s="413"/>
      <c r="H102" s="334"/>
      <c r="I102" s="410"/>
      <c r="J102" s="410"/>
      <c r="K102" s="413"/>
      <c r="L102" s="334"/>
      <c r="M102" s="410"/>
      <c r="N102" s="413">
        <f>-5897+642</f>
        <v>-5255</v>
      </c>
      <c r="O102" s="412"/>
      <c r="P102" s="334"/>
    </row>
    <row r="103" spans="1:19" ht="47.25" x14ac:dyDescent="0.25">
      <c r="A103" s="416"/>
      <c r="B103" s="404" t="s">
        <v>1148</v>
      </c>
      <c r="C103" s="410"/>
      <c r="D103" s="403"/>
      <c r="E103" s="403"/>
      <c r="F103" s="413"/>
      <c r="G103" s="413"/>
      <c r="H103" s="334"/>
      <c r="I103" s="410"/>
      <c r="J103" s="410"/>
      <c r="K103" s="413"/>
      <c r="L103" s="334"/>
      <c r="M103" s="410"/>
      <c r="N103" s="413">
        <v>8</v>
      </c>
      <c r="O103" s="412"/>
      <c r="P103" s="334"/>
    </row>
    <row r="104" spans="1:19" ht="47.25" x14ac:dyDescent="0.25">
      <c r="A104" s="416"/>
      <c r="B104" s="404" t="s">
        <v>1149</v>
      </c>
      <c r="C104" s="410"/>
      <c r="D104" s="403"/>
      <c r="E104" s="403"/>
      <c r="F104" s="413"/>
      <c r="G104" s="413"/>
      <c r="H104" s="334"/>
      <c r="I104" s="410"/>
      <c r="J104" s="410"/>
      <c r="K104" s="413"/>
      <c r="L104" s="334"/>
      <c r="M104" s="410"/>
      <c r="N104" s="413">
        <v>102</v>
      </c>
      <c r="O104" s="412"/>
      <c r="P104" s="334"/>
    </row>
    <row r="105" spans="1:19" ht="47.25" x14ac:dyDescent="0.25">
      <c r="A105" s="416"/>
      <c r="B105" s="404" t="s">
        <v>1150</v>
      </c>
      <c r="C105" s="410"/>
      <c r="D105" s="403"/>
      <c r="E105" s="403"/>
      <c r="F105" s="413"/>
      <c r="G105" s="413"/>
      <c r="H105" s="334"/>
      <c r="I105" s="410"/>
      <c r="J105" s="410"/>
      <c r="K105" s="413"/>
      <c r="L105" s="334"/>
      <c r="M105" s="410"/>
      <c r="N105" s="413">
        <v>4282</v>
      </c>
      <c r="O105" s="412"/>
      <c r="P105" s="334"/>
    </row>
    <row r="106" spans="1:19" ht="47.25" x14ac:dyDescent="0.25">
      <c r="A106" s="416"/>
      <c r="B106" s="404" t="s">
        <v>1152</v>
      </c>
      <c r="C106" s="410"/>
      <c r="D106" s="403"/>
      <c r="E106" s="403"/>
      <c r="F106" s="413"/>
      <c r="G106" s="413"/>
      <c r="H106" s="334"/>
      <c r="I106" s="410"/>
      <c r="J106" s="410"/>
      <c r="K106" s="413"/>
      <c r="L106" s="334"/>
      <c r="M106" s="410"/>
      <c r="N106" s="413">
        <v>195</v>
      </c>
      <c r="O106" s="412"/>
      <c r="P106" s="334"/>
      <c r="S106" s="351" t="s">
        <v>1151</v>
      </c>
    </row>
    <row r="107" spans="1:19" ht="63" x14ac:dyDescent="0.25">
      <c r="A107" s="416"/>
      <c r="B107" s="404" t="s">
        <v>1153</v>
      </c>
      <c r="C107" s="410"/>
      <c r="D107" s="403"/>
      <c r="E107" s="403"/>
      <c r="F107" s="413"/>
      <c r="G107" s="413"/>
      <c r="H107" s="334"/>
      <c r="I107" s="410"/>
      <c r="J107" s="410"/>
      <c r="K107" s="413"/>
      <c r="L107" s="334"/>
      <c r="M107" s="410"/>
      <c r="N107" s="413">
        <v>438</v>
      </c>
      <c r="O107" s="412"/>
      <c r="P107" s="334"/>
    </row>
    <row r="108" spans="1:19" ht="63" x14ac:dyDescent="0.25">
      <c r="A108" s="416"/>
      <c r="B108" s="404" t="s">
        <v>1154</v>
      </c>
      <c r="C108" s="410"/>
      <c r="D108" s="403"/>
      <c r="E108" s="403"/>
      <c r="F108" s="413"/>
      <c r="G108" s="413"/>
      <c r="H108" s="334"/>
      <c r="I108" s="410"/>
      <c r="J108" s="410"/>
      <c r="K108" s="413"/>
      <c r="L108" s="334"/>
      <c r="M108" s="410"/>
      <c r="N108" s="413">
        <v>-819</v>
      </c>
      <c r="O108" s="412"/>
      <c r="P108" s="334"/>
    </row>
    <row r="109" spans="1:19" ht="47.25" x14ac:dyDescent="0.25">
      <c r="A109" s="416"/>
      <c r="B109" s="404" t="s">
        <v>1155</v>
      </c>
      <c r="C109" s="410"/>
      <c r="D109" s="403"/>
      <c r="E109" s="403"/>
      <c r="F109" s="413"/>
      <c r="G109" s="413"/>
      <c r="H109" s="334"/>
      <c r="I109" s="410"/>
      <c r="J109" s="410"/>
      <c r="K109" s="413"/>
      <c r="L109" s="334"/>
      <c r="M109" s="410"/>
      <c r="N109" s="413">
        <v>-19685</v>
      </c>
      <c r="O109" s="412"/>
      <c r="P109" s="334"/>
    </row>
    <row r="110" spans="1:19" ht="47.25" x14ac:dyDescent="0.25">
      <c r="A110" s="416"/>
      <c r="B110" s="404" t="s">
        <v>1156</v>
      </c>
      <c r="C110" s="410"/>
      <c r="D110" s="403"/>
      <c r="E110" s="403"/>
      <c r="F110" s="413"/>
      <c r="G110" s="413"/>
      <c r="H110" s="334"/>
      <c r="I110" s="410"/>
      <c r="J110" s="410"/>
      <c r="K110" s="413"/>
      <c r="L110" s="334"/>
      <c r="M110" s="410"/>
      <c r="N110" s="413">
        <v>28</v>
      </c>
      <c r="O110" s="412"/>
      <c r="P110" s="334"/>
    </row>
    <row r="111" spans="1:19" ht="47.25" x14ac:dyDescent="0.25">
      <c r="A111" s="416"/>
      <c r="B111" s="404" t="s">
        <v>1157</v>
      </c>
      <c r="C111" s="410"/>
      <c r="D111" s="403"/>
      <c r="E111" s="403"/>
      <c r="F111" s="413"/>
      <c r="G111" s="413"/>
      <c r="H111" s="334"/>
      <c r="I111" s="410"/>
      <c r="J111" s="410"/>
      <c r="K111" s="413"/>
      <c r="L111" s="334"/>
      <c r="M111" s="410"/>
      <c r="N111" s="413">
        <v>25</v>
      </c>
      <c r="O111" s="412"/>
      <c r="P111" s="334"/>
    </row>
    <row r="112" spans="1:19" ht="47.25" x14ac:dyDescent="0.25">
      <c r="A112" s="416"/>
      <c r="B112" s="404" t="s">
        <v>1158</v>
      </c>
      <c r="C112" s="410"/>
      <c r="D112" s="403"/>
      <c r="E112" s="403"/>
      <c r="F112" s="413"/>
      <c r="G112" s="413"/>
      <c r="H112" s="334"/>
      <c r="I112" s="410"/>
      <c r="J112" s="410"/>
      <c r="K112" s="413"/>
      <c r="L112" s="334"/>
      <c r="M112" s="410"/>
      <c r="N112" s="413">
        <v>73</v>
      </c>
      <c r="O112" s="412"/>
      <c r="P112" s="334"/>
    </row>
    <row r="113" spans="1:16" ht="47.25" x14ac:dyDescent="0.25">
      <c r="A113" s="416"/>
      <c r="B113" s="404" t="s">
        <v>1159</v>
      </c>
      <c r="C113" s="410"/>
      <c r="D113" s="403"/>
      <c r="E113" s="403"/>
      <c r="F113" s="413"/>
      <c r="G113" s="413"/>
      <c r="H113" s="334"/>
      <c r="I113" s="410"/>
      <c r="J113" s="410"/>
      <c r="K113" s="413"/>
      <c r="L113" s="334"/>
      <c r="M113" s="410"/>
      <c r="N113" s="413">
        <v>100</v>
      </c>
      <c r="O113" s="412"/>
      <c r="P113" s="334"/>
    </row>
    <row r="114" spans="1:16" ht="47.25" x14ac:dyDescent="0.25">
      <c r="A114" s="416"/>
      <c r="B114" s="404" t="s">
        <v>1160</v>
      </c>
      <c r="C114" s="410"/>
      <c r="D114" s="403"/>
      <c r="E114" s="403"/>
      <c r="F114" s="413"/>
      <c r="G114" s="413"/>
      <c r="H114" s="334"/>
      <c r="I114" s="410"/>
      <c r="J114" s="410"/>
      <c r="K114" s="413"/>
      <c r="L114" s="334"/>
      <c r="M114" s="410"/>
      <c r="N114" s="413">
        <v>-200</v>
      </c>
      <c r="O114" s="412"/>
      <c r="P114" s="334"/>
    </row>
    <row r="115" spans="1:16" ht="31.5" x14ac:dyDescent="0.25">
      <c r="A115" s="416"/>
      <c r="B115" s="404" t="s">
        <v>1162</v>
      </c>
      <c r="C115" s="410"/>
      <c r="D115" s="403"/>
      <c r="E115" s="403"/>
      <c r="F115" s="413"/>
      <c r="G115" s="413"/>
      <c r="H115" s="334"/>
      <c r="I115" s="410"/>
      <c r="J115" s="410"/>
      <c r="K115" s="413"/>
      <c r="L115" s="334"/>
      <c r="M115" s="410"/>
      <c r="N115" s="413">
        <v>-3259</v>
      </c>
      <c r="O115" s="412"/>
      <c r="P115" s="334"/>
    </row>
    <row r="116" spans="1:16" ht="47.25" x14ac:dyDescent="0.25">
      <c r="A116" s="416"/>
      <c r="B116" s="404" t="s">
        <v>1163</v>
      </c>
      <c r="C116" s="410"/>
      <c r="D116" s="403"/>
      <c r="E116" s="403"/>
      <c r="F116" s="413"/>
      <c r="G116" s="413"/>
      <c r="H116" s="334"/>
      <c r="I116" s="410"/>
      <c r="J116" s="410"/>
      <c r="K116" s="413"/>
      <c r="L116" s="334"/>
      <c r="M116" s="410"/>
      <c r="N116" s="413">
        <f>7642-117</f>
        <v>7525</v>
      </c>
      <c r="O116" s="412"/>
      <c r="P116" s="334"/>
    </row>
    <row r="117" spans="1:16" ht="47.25" x14ac:dyDescent="0.25">
      <c r="A117" s="416"/>
      <c r="B117" s="404" t="s">
        <v>1164</v>
      </c>
      <c r="C117" s="410"/>
      <c r="D117" s="403"/>
      <c r="E117" s="403"/>
      <c r="F117" s="413"/>
      <c r="G117" s="413"/>
      <c r="H117" s="334"/>
      <c r="I117" s="410"/>
      <c r="J117" s="410"/>
      <c r="K117" s="413"/>
      <c r="L117" s="334"/>
      <c r="M117" s="410"/>
      <c r="N117" s="413">
        <f>46+12</f>
        <v>58</v>
      </c>
      <c r="O117" s="412"/>
      <c r="P117" s="334"/>
    </row>
    <row r="118" spans="1:16" ht="31.5" x14ac:dyDescent="0.25">
      <c r="A118" s="416"/>
      <c r="B118" s="404" t="s">
        <v>1166</v>
      </c>
      <c r="C118" s="410"/>
      <c r="D118" s="403"/>
      <c r="E118" s="403"/>
      <c r="F118" s="413"/>
      <c r="G118" s="413"/>
      <c r="H118" s="334"/>
      <c r="I118" s="410"/>
      <c r="J118" s="410"/>
      <c r="K118" s="413"/>
      <c r="L118" s="334"/>
      <c r="M118" s="410"/>
      <c r="N118" s="413">
        <f>4358+1177</f>
        <v>5535</v>
      </c>
      <c r="O118" s="412"/>
      <c r="P118" s="334"/>
    </row>
    <row r="119" spans="1:16" ht="47.25" x14ac:dyDescent="0.25">
      <c r="A119" s="416"/>
      <c r="B119" s="404" t="s">
        <v>1167</v>
      </c>
      <c r="C119" s="410"/>
      <c r="D119" s="403"/>
      <c r="E119" s="403"/>
      <c r="F119" s="413"/>
      <c r="G119" s="413"/>
      <c r="H119" s="334"/>
      <c r="I119" s="410"/>
      <c r="J119" s="410"/>
      <c r="K119" s="413"/>
      <c r="L119" s="334"/>
      <c r="M119" s="410"/>
      <c r="N119" s="413">
        <f>-24-6</f>
        <v>-30</v>
      </c>
      <c r="O119" s="412"/>
      <c r="P119" s="334"/>
    </row>
    <row r="120" spans="1:16" ht="47.25" x14ac:dyDescent="0.25">
      <c r="A120" s="416"/>
      <c r="B120" s="404" t="s">
        <v>1168</v>
      </c>
      <c r="C120" s="410"/>
      <c r="D120" s="403"/>
      <c r="E120" s="403"/>
      <c r="F120" s="413"/>
      <c r="G120" s="413"/>
      <c r="H120" s="334"/>
      <c r="I120" s="410"/>
      <c r="J120" s="410"/>
      <c r="K120" s="413"/>
      <c r="L120" s="334"/>
      <c r="M120" s="410"/>
      <c r="N120" s="413">
        <f>-241-65</f>
        <v>-306</v>
      </c>
      <c r="O120" s="412"/>
      <c r="P120" s="334"/>
    </row>
    <row r="121" spans="1:16" ht="31.5" x14ac:dyDescent="0.25">
      <c r="A121" s="416"/>
      <c r="B121" s="404" t="s">
        <v>1169</v>
      </c>
      <c r="C121" s="410"/>
      <c r="D121" s="403"/>
      <c r="E121" s="403"/>
      <c r="F121" s="413"/>
      <c r="G121" s="413"/>
      <c r="H121" s="334"/>
      <c r="I121" s="410"/>
      <c r="J121" s="410"/>
      <c r="K121" s="413"/>
      <c r="L121" s="334"/>
      <c r="M121" s="410"/>
      <c r="N121" s="413">
        <f>-79</f>
        <v>-79</v>
      </c>
      <c r="O121" s="412"/>
      <c r="P121" s="334"/>
    </row>
    <row r="122" spans="1:16" ht="47.25" x14ac:dyDescent="0.25">
      <c r="A122" s="416"/>
      <c r="B122" s="404" t="s">
        <v>1170</v>
      </c>
      <c r="C122" s="410"/>
      <c r="D122" s="403"/>
      <c r="E122" s="403"/>
      <c r="F122" s="413"/>
      <c r="G122" s="413"/>
      <c r="H122" s="334"/>
      <c r="I122" s="410"/>
      <c r="J122" s="410"/>
      <c r="K122" s="413"/>
      <c r="L122" s="334"/>
      <c r="M122" s="410"/>
      <c r="N122" s="413">
        <f>-22-6</f>
        <v>-28</v>
      </c>
      <c r="O122" s="412"/>
      <c r="P122" s="334"/>
    </row>
    <row r="123" spans="1:16" ht="47.25" x14ac:dyDescent="0.25">
      <c r="A123" s="416"/>
      <c r="B123" s="404" t="s">
        <v>1171</v>
      </c>
      <c r="C123" s="410"/>
      <c r="D123" s="403"/>
      <c r="E123" s="403"/>
      <c r="F123" s="413"/>
      <c r="G123" s="413"/>
      <c r="H123" s="334"/>
      <c r="I123" s="410"/>
      <c r="J123" s="410"/>
      <c r="K123" s="413"/>
      <c r="L123" s="334"/>
      <c r="M123" s="410"/>
      <c r="N123" s="413">
        <f>-1410-381</f>
        <v>-1791</v>
      </c>
      <c r="O123" s="412"/>
      <c r="P123" s="334"/>
    </row>
    <row r="124" spans="1:16" ht="47.25" x14ac:dyDescent="0.25">
      <c r="A124" s="416"/>
      <c r="B124" s="404" t="s">
        <v>1172</v>
      </c>
      <c r="C124" s="410"/>
      <c r="D124" s="403"/>
      <c r="E124" s="403"/>
      <c r="F124" s="413"/>
      <c r="G124" s="413"/>
      <c r="H124" s="334"/>
      <c r="I124" s="410"/>
      <c r="J124" s="410"/>
      <c r="K124" s="413"/>
      <c r="L124" s="334"/>
      <c r="M124" s="410"/>
      <c r="N124" s="413">
        <f>15500+4185</f>
        <v>19685</v>
      </c>
      <c r="O124" s="412"/>
      <c r="P124" s="334"/>
    </row>
    <row r="125" spans="1:16" ht="47.25" x14ac:dyDescent="0.25">
      <c r="A125" s="416"/>
      <c r="B125" s="404" t="s">
        <v>1173</v>
      </c>
      <c r="C125" s="410"/>
      <c r="D125" s="403"/>
      <c r="E125" s="403"/>
      <c r="F125" s="413"/>
      <c r="G125" s="413"/>
      <c r="H125" s="334"/>
      <c r="I125" s="410"/>
      <c r="J125" s="410"/>
      <c r="K125" s="413"/>
      <c r="L125" s="334"/>
      <c r="M125" s="410"/>
      <c r="N125" s="413">
        <f>2584+857</f>
        <v>3441</v>
      </c>
      <c r="O125" s="412"/>
      <c r="P125" s="334"/>
    </row>
    <row r="126" spans="1:16" ht="47.25" x14ac:dyDescent="0.25">
      <c r="A126" s="416"/>
      <c r="B126" s="404" t="s">
        <v>1174</v>
      </c>
      <c r="C126" s="410"/>
      <c r="D126" s="403"/>
      <c r="E126" s="403"/>
      <c r="F126" s="413"/>
      <c r="G126" s="413"/>
      <c r="H126" s="334"/>
      <c r="I126" s="410"/>
      <c r="J126" s="410"/>
      <c r="K126" s="413"/>
      <c r="L126" s="334"/>
      <c r="M126" s="410"/>
      <c r="N126" s="413">
        <f>3433+927</f>
        <v>4360</v>
      </c>
      <c r="O126" s="412"/>
      <c r="P126" s="334"/>
    </row>
    <row r="127" spans="1:16" ht="47.25" x14ac:dyDescent="0.25">
      <c r="A127" s="416"/>
      <c r="B127" s="404" t="s">
        <v>1175</v>
      </c>
      <c r="C127" s="410"/>
      <c r="D127" s="403"/>
      <c r="E127" s="403"/>
      <c r="F127" s="413"/>
      <c r="G127" s="413"/>
      <c r="H127" s="334"/>
      <c r="I127" s="410"/>
      <c r="J127" s="410"/>
      <c r="K127" s="413"/>
      <c r="L127" s="334"/>
      <c r="M127" s="410"/>
      <c r="N127" s="413">
        <f>127+35</f>
        <v>162</v>
      </c>
      <c r="O127" s="412"/>
      <c r="P127" s="334"/>
    </row>
    <row r="128" spans="1:16" ht="47.25" x14ac:dyDescent="0.25">
      <c r="A128" s="416"/>
      <c r="B128" s="404" t="s">
        <v>1176</v>
      </c>
      <c r="C128" s="410"/>
      <c r="D128" s="403"/>
      <c r="E128" s="403"/>
      <c r="F128" s="413"/>
      <c r="G128" s="413"/>
      <c r="H128" s="334"/>
      <c r="I128" s="410"/>
      <c r="J128" s="410"/>
      <c r="K128" s="413"/>
      <c r="L128" s="334"/>
      <c r="M128" s="410"/>
      <c r="N128" s="413">
        <f>221+60</f>
        <v>281</v>
      </c>
      <c r="O128" s="412"/>
      <c r="P128" s="334"/>
    </row>
    <row r="129" spans="1:16" ht="47.25" x14ac:dyDescent="0.25">
      <c r="A129" s="416"/>
      <c r="B129" s="404" t="s">
        <v>1186</v>
      </c>
      <c r="C129" s="410"/>
      <c r="D129" s="403"/>
      <c r="E129" s="403"/>
      <c r="F129" s="413"/>
      <c r="G129" s="413"/>
      <c r="H129" s="334"/>
      <c r="I129" s="410"/>
      <c r="J129" s="410"/>
      <c r="K129" s="413"/>
      <c r="L129" s="334"/>
      <c r="M129" s="410"/>
      <c r="N129" s="413">
        <v>-403</v>
      </c>
      <c r="O129" s="412"/>
      <c r="P129" s="334"/>
    </row>
    <row r="130" spans="1:16" ht="47.25" x14ac:dyDescent="0.25">
      <c r="A130" s="416"/>
      <c r="B130" s="404" t="s">
        <v>1177</v>
      </c>
      <c r="C130" s="410"/>
      <c r="D130" s="403"/>
      <c r="E130" s="403"/>
      <c r="F130" s="413"/>
      <c r="G130" s="413"/>
      <c r="H130" s="334"/>
      <c r="I130" s="410"/>
      <c r="J130" s="410"/>
      <c r="K130" s="413"/>
      <c r="L130" s="334"/>
      <c r="M130" s="410"/>
      <c r="N130" s="413">
        <f>7+1</f>
        <v>8</v>
      </c>
      <c r="O130" s="412"/>
      <c r="P130" s="334"/>
    </row>
    <row r="131" spans="1:16" ht="47.25" x14ac:dyDescent="0.25">
      <c r="A131" s="416"/>
      <c r="B131" s="404" t="s">
        <v>1178</v>
      </c>
      <c r="C131" s="410"/>
      <c r="D131" s="403"/>
      <c r="E131" s="403"/>
      <c r="F131" s="413"/>
      <c r="G131" s="413"/>
      <c r="H131" s="334"/>
      <c r="I131" s="410"/>
      <c r="J131" s="410"/>
      <c r="K131" s="413"/>
      <c r="L131" s="334"/>
      <c r="M131" s="410"/>
      <c r="N131" s="413">
        <v>5687</v>
      </c>
      <c r="O131" s="412"/>
      <c r="P131" s="334"/>
    </row>
    <row r="132" spans="1:16" ht="47.25" x14ac:dyDescent="0.25">
      <c r="A132" s="416"/>
      <c r="B132" s="404" t="s">
        <v>1179</v>
      </c>
      <c r="C132" s="410"/>
      <c r="D132" s="403"/>
      <c r="E132" s="403"/>
      <c r="F132" s="413"/>
      <c r="G132" s="413"/>
      <c r="H132" s="334"/>
      <c r="I132" s="410"/>
      <c r="J132" s="410"/>
      <c r="K132" s="413"/>
      <c r="L132" s="334"/>
      <c r="M132" s="410"/>
      <c r="N132" s="413">
        <f>19810+5349</f>
        <v>25159</v>
      </c>
      <c r="O132" s="412"/>
      <c r="P132" s="334"/>
    </row>
    <row r="133" spans="1:16" ht="47.25" x14ac:dyDescent="0.25">
      <c r="A133" s="416"/>
      <c r="B133" s="404" t="s">
        <v>1180</v>
      </c>
      <c r="C133" s="410"/>
      <c r="D133" s="403"/>
      <c r="E133" s="403"/>
      <c r="F133" s="413"/>
      <c r="G133" s="413"/>
      <c r="H133" s="334"/>
      <c r="I133" s="410"/>
      <c r="J133" s="410"/>
      <c r="K133" s="413"/>
      <c r="L133" s="334"/>
      <c r="M133" s="410"/>
      <c r="N133" s="413">
        <f>385+76+16+6+10</f>
        <v>493</v>
      </c>
      <c r="O133" s="412"/>
      <c r="P133" s="334"/>
    </row>
    <row r="134" spans="1:16" ht="63" x14ac:dyDescent="0.25">
      <c r="A134" s="416"/>
      <c r="B134" s="404" t="s">
        <v>1182</v>
      </c>
      <c r="C134" s="410"/>
      <c r="D134" s="403"/>
      <c r="E134" s="403"/>
      <c r="F134" s="413"/>
      <c r="G134" s="413"/>
      <c r="H134" s="334"/>
      <c r="I134" s="410"/>
      <c r="J134" s="410"/>
      <c r="K134" s="413"/>
      <c r="L134" s="334"/>
      <c r="M134" s="410"/>
      <c r="N134" s="413">
        <f>1333+360</f>
        <v>1693</v>
      </c>
      <c r="O134" s="412"/>
      <c r="P134" s="334"/>
    </row>
    <row r="135" spans="1:16" ht="47.25" x14ac:dyDescent="0.25">
      <c r="A135" s="416"/>
      <c r="B135" s="404" t="s">
        <v>1183</v>
      </c>
      <c r="C135" s="410"/>
      <c r="D135" s="403"/>
      <c r="E135" s="403"/>
      <c r="F135" s="413"/>
      <c r="G135" s="413"/>
      <c r="H135" s="334"/>
      <c r="I135" s="410"/>
      <c r="J135" s="410"/>
      <c r="K135" s="413"/>
      <c r="L135" s="334"/>
      <c r="M135" s="410"/>
      <c r="N135" s="413">
        <f>1377+372</f>
        <v>1749</v>
      </c>
      <c r="O135" s="412"/>
      <c r="P135" s="334"/>
    </row>
    <row r="136" spans="1:16" ht="31.5" x14ac:dyDescent="0.25">
      <c r="A136" s="416"/>
      <c r="B136" s="404" t="s">
        <v>1169</v>
      </c>
      <c r="C136" s="410"/>
      <c r="D136" s="403"/>
      <c r="E136" s="403"/>
      <c r="F136" s="413"/>
      <c r="G136" s="413"/>
      <c r="H136" s="334"/>
      <c r="I136" s="410"/>
      <c r="J136" s="410"/>
      <c r="K136" s="413"/>
      <c r="L136" s="334"/>
      <c r="M136" s="410"/>
      <c r="N136" s="413">
        <f>285+56</f>
        <v>341</v>
      </c>
      <c r="O136" s="412"/>
      <c r="P136" s="334"/>
    </row>
    <row r="137" spans="1:16" ht="47.25" customHeight="1" x14ac:dyDescent="0.25">
      <c r="A137" s="416"/>
      <c r="B137" s="404" t="s">
        <v>1184</v>
      </c>
      <c r="C137" s="410"/>
      <c r="D137" s="403"/>
      <c r="E137" s="403"/>
      <c r="F137" s="413"/>
      <c r="G137" s="413"/>
      <c r="H137" s="334"/>
      <c r="I137" s="410"/>
      <c r="J137" s="410"/>
      <c r="K137" s="413"/>
      <c r="L137" s="334"/>
      <c r="M137" s="410"/>
      <c r="N137" s="413">
        <f>24+7</f>
        <v>31</v>
      </c>
      <c r="O137" s="412"/>
      <c r="P137" s="334"/>
    </row>
    <row r="138" spans="1:16" ht="47.25" x14ac:dyDescent="0.25">
      <c r="A138" s="416"/>
      <c r="B138" s="404" t="s">
        <v>1185</v>
      </c>
      <c r="C138" s="410"/>
      <c r="D138" s="403"/>
      <c r="E138" s="403"/>
      <c r="F138" s="413"/>
      <c r="G138" s="413"/>
      <c r="H138" s="334"/>
      <c r="I138" s="410"/>
      <c r="J138" s="410"/>
      <c r="K138" s="413"/>
      <c r="L138" s="334"/>
      <c r="M138" s="410"/>
      <c r="N138" s="413">
        <f>36+10</f>
        <v>46</v>
      </c>
      <c r="O138" s="412"/>
      <c r="P138" s="334"/>
    </row>
    <row r="139" spans="1:16" ht="47.25" x14ac:dyDescent="0.25">
      <c r="A139" s="416"/>
      <c r="B139" s="404" t="s">
        <v>1187</v>
      </c>
      <c r="C139" s="410"/>
      <c r="D139" s="403"/>
      <c r="E139" s="403"/>
      <c r="F139" s="413"/>
      <c r="G139" s="413"/>
      <c r="H139" s="334"/>
      <c r="I139" s="410"/>
      <c r="J139" s="410"/>
      <c r="K139" s="413"/>
      <c r="L139" s="334"/>
      <c r="M139" s="410"/>
      <c r="N139" s="413">
        <v>3952</v>
      </c>
      <c r="O139" s="412"/>
      <c r="P139" s="334"/>
    </row>
    <row r="140" spans="1:16" ht="31.5" x14ac:dyDescent="0.25">
      <c r="A140" s="416"/>
      <c r="B140" s="404" t="s">
        <v>1188</v>
      </c>
      <c r="C140" s="410"/>
      <c r="D140" s="403"/>
      <c r="E140" s="403"/>
      <c r="F140" s="413"/>
      <c r="G140" s="413"/>
      <c r="H140" s="334"/>
      <c r="I140" s="410"/>
      <c r="J140" s="410"/>
      <c r="K140" s="413"/>
      <c r="L140" s="334"/>
      <c r="M140" s="410"/>
      <c r="N140" s="413">
        <v>495</v>
      </c>
      <c r="O140" s="412"/>
      <c r="P140" s="334"/>
    </row>
    <row r="141" spans="1:16" ht="31.5" x14ac:dyDescent="0.25">
      <c r="A141" s="416"/>
      <c r="B141" s="404" t="s">
        <v>1189</v>
      </c>
      <c r="C141" s="410"/>
      <c r="D141" s="403"/>
      <c r="E141" s="403"/>
      <c r="F141" s="413"/>
      <c r="G141" s="413"/>
      <c r="H141" s="334"/>
      <c r="I141" s="410"/>
      <c r="J141" s="410"/>
      <c r="K141" s="413"/>
      <c r="L141" s="334"/>
      <c r="M141" s="410"/>
      <c r="N141" s="413">
        <f>1273+2</f>
        <v>1275</v>
      </c>
      <c r="O141" s="412"/>
      <c r="P141" s="334"/>
    </row>
    <row r="142" spans="1:16" x14ac:dyDescent="0.25">
      <c r="A142" s="416"/>
      <c r="B142" s="404"/>
      <c r="C142" s="410"/>
      <c r="D142" s="403"/>
      <c r="E142" s="403"/>
      <c r="F142" s="413"/>
      <c r="G142" s="413"/>
      <c r="H142" s="334"/>
      <c r="I142" s="410"/>
      <c r="J142" s="410"/>
      <c r="K142" s="413"/>
      <c r="L142" s="334"/>
      <c r="M142" s="410"/>
      <c r="N142" s="413"/>
      <c r="O142" s="412"/>
      <c r="P142" s="334"/>
    </row>
    <row r="143" spans="1:16" x14ac:dyDescent="0.25">
      <c r="A143" s="416"/>
      <c r="B143" s="556" t="s">
        <v>974</v>
      </c>
      <c r="C143" s="410"/>
      <c r="D143" s="403"/>
      <c r="E143" s="403"/>
      <c r="F143" s="413"/>
      <c r="G143" s="413"/>
      <c r="H143" s="334"/>
      <c r="I143" s="410"/>
      <c r="J143" s="410"/>
      <c r="K143" s="413"/>
      <c r="L143" s="334"/>
      <c r="M143" s="410"/>
      <c r="N143" s="413"/>
      <c r="O143" s="412"/>
      <c r="P143" s="324"/>
    </row>
    <row r="144" spans="1:16" ht="47.25" x14ac:dyDescent="0.25">
      <c r="A144" s="416"/>
      <c r="B144" s="404" t="s">
        <v>1053</v>
      </c>
      <c r="C144" s="410"/>
      <c r="D144" s="403"/>
      <c r="E144" s="403"/>
      <c r="F144" s="413"/>
      <c r="G144" s="413"/>
      <c r="H144" s="334"/>
      <c r="I144" s="410"/>
      <c r="J144" s="410"/>
      <c r="K144" s="413"/>
      <c r="L144" s="334"/>
      <c r="M144" s="410"/>
      <c r="N144" s="413">
        <v>-100</v>
      </c>
      <c r="O144" s="412"/>
      <c r="P144" s="324"/>
    </row>
    <row r="145" spans="1:17" ht="78.75" x14ac:dyDescent="0.25">
      <c r="A145" s="416"/>
      <c r="B145" s="404" t="s">
        <v>1054</v>
      </c>
      <c r="C145" s="410"/>
      <c r="D145" s="403"/>
      <c r="E145" s="403"/>
      <c r="F145" s="413"/>
      <c r="G145" s="413"/>
      <c r="H145" s="334"/>
      <c r="I145" s="410"/>
      <c r="J145" s="410"/>
      <c r="K145" s="413"/>
      <c r="L145" s="334"/>
      <c r="M145" s="410"/>
      <c r="N145" s="413">
        <v>-91</v>
      </c>
      <c r="O145" s="412"/>
      <c r="P145" s="324"/>
    </row>
    <row r="146" spans="1:17" ht="31.5" x14ac:dyDescent="0.25">
      <c r="A146" s="416"/>
      <c r="B146" s="404" t="s">
        <v>1056</v>
      </c>
      <c r="C146" s="410"/>
      <c r="D146" s="403"/>
      <c r="E146" s="403"/>
      <c r="F146" s="413"/>
      <c r="G146" s="413"/>
      <c r="H146" s="334"/>
      <c r="I146" s="410"/>
      <c r="J146" s="410"/>
      <c r="K146" s="413"/>
      <c r="L146" s="334"/>
      <c r="M146" s="410"/>
      <c r="N146" s="413">
        <v>-93</v>
      </c>
      <c r="O146" s="412"/>
      <c r="P146" s="334"/>
    </row>
    <row r="147" spans="1:17" ht="47.25" x14ac:dyDescent="0.25">
      <c r="A147" s="416"/>
      <c r="B147" s="404" t="s">
        <v>1208</v>
      </c>
      <c r="C147" s="410"/>
      <c r="D147" s="403"/>
      <c r="E147" s="403"/>
      <c r="F147" s="413"/>
      <c r="G147" s="413"/>
      <c r="H147" s="334"/>
      <c r="I147" s="410"/>
      <c r="J147" s="410"/>
      <c r="K147" s="413"/>
      <c r="L147" s="334"/>
      <c r="M147" s="410"/>
      <c r="N147" s="413">
        <v>265848</v>
      </c>
      <c r="O147" s="412"/>
      <c r="P147" s="334"/>
    </row>
    <row r="148" spans="1:17" ht="31.5" x14ac:dyDescent="0.25">
      <c r="A148" s="417"/>
      <c r="B148" s="422" t="s">
        <v>1207</v>
      </c>
      <c r="C148" s="418"/>
      <c r="D148" s="419"/>
      <c r="E148" s="419"/>
      <c r="F148" s="420"/>
      <c r="G148" s="420"/>
      <c r="H148" s="358"/>
      <c r="I148" s="418"/>
      <c r="J148" s="418"/>
      <c r="K148" s="420"/>
      <c r="L148" s="358"/>
      <c r="M148" s="418"/>
      <c r="N148" s="420"/>
      <c r="O148" s="412"/>
      <c r="P148" s="324"/>
    </row>
    <row r="149" spans="1:17" ht="63" x14ac:dyDescent="0.25">
      <c r="A149" s="417"/>
      <c r="B149" s="404" t="s">
        <v>1309</v>
      </c>
      <c r="C149" s="418"/>
      <c r="D149" s="419"/>
      <c r="E149" s="419"/>
      <c r="F149" s="420"/>
      <c r="G149" s="420"/>
      <c r="H149" s="358"/>
      <c r="I149" s="418"/>
      <c r="J149" s="418"/>
      <c r="K149" s="420"/>
      <c r="L149" s="358"/>
      <c r="M149" s="418"/>
      <c r="N149" s="420">
        <v>-124042</v>
      </c>
      <c r="O149" s="412"/>
      <c r="P149" s="324"/>
    </row>
    <row r="150" spans="1:17" ht="114" customHeight="1" x14ac:dyDescent="0.25">
      <c r="A150" s="417"/>
      <c r="B150" s="421" t="s">
        <v>1210</v>
      </c>
      <c r="C150" s="418"/>
      <c r="D150" s="419"/>
      <c r="E150" s="419"/>
      <c r="F150" s="420"/>
      <c r="G150" s="420"/>
      <c r="H150" s="358"/>
      <c r="I150" s="418"/>
      <c r="J150" s="418"/>
      <c r="K150" s="420"/>
      <c r="L150" s="358"/>
      <c r="M150" s="418"/>
      <c r="N150" s="420">
        <f>-7627-26</f>
        <v>-7653</v>
      </c>
      <c r="O150" s="412"/>
      <c r="P150" s="324"/>
    </row>
    <row r="151" spans="1:17" x14ac:dyDescent="0.25">
      <c r="A151" s="417"/>
      <c r="B151" s="422" t="s">
        <v>452</v>
      </c>
      <c r="C151" s="418"/>
      <c r="D151" s="419"/>
      <c r="E151" s="419"/>
      <c r="F151" s="420"/>
      <c r="G151" s="420"/>
      <c r="H151" s="358"/>
      <c r="I151" s="418"/>
      <c r="J151" s="418"/>
      <c r="K151" s="420"/>
      <c r="L151" s="358"/>
      <c r="M151" s="418"/>
      <c r="N151" s="415"/>
      <c r="O151" s="412"/>
      <c r="P151" s="324"/>
    </row>
    <row r="152" spans="1:17" ht="31.5" x14ac:dyDescent="0.25">
      <c r="A152" s="417"/>
      <c r="B152" s="421" t="s">
        <v>1209</v>
      </c>
      <c r="C152" s="418"/>
      <c r="D152" s="419"/>
      <c r="E152" s="419"/>
      <c r="F152" s="420"/>
      <c r="G152" s="420"/>
      <c r="H152" s="358"/>
      <c r="I152" s="418"/>
      <c r="J152" s="418"/>
      <c r="K152" s="420"/>
      <c r="L152" s="358"/>
      <c r="M152" s="418"/>
      <c r="N152" s="822">
        <v>-87</v>
      </c>
      <c r="O152" s="412"/>
      <c r="P152" s="324"/>
    </row>
    <row r="153" spans="1:17" x14ac:dyDescent="0.25">
      <c r="A153" s="416"/>
      <c r="B153" s="404" t="s">
        <v>1037</v>
      </c>
      <c r="C153" s="410"/>
      <c r="D153" s="403"/>
      <c r="E153" s="403"/>
      <c r="F153" s="413"/>
      <c r="G153" s="413"/>
      <c r="H153" s="334"/>
      <c r="I153" s="410"/>
      <c r="J153" s="410"/>
      <c r="K153" s="413"/>
      <c r="L153" s="334"/>
      <c r="M153" s="410"/>
      <c r="N153" s="413"/>
      <c r="O153" s="412"/>
      <c r="P153" s="324">
        <f t="shared" ref="P153" si="43">SUM(O153)</f>
        <v>0</v>
      </c>
      <c r="Q153" s="351" t="s">
        <v>655</v>
      </c>
    </row>
    <row r="154" spans="1:17" x14ac:dyDescent="0.25">
      <c r="A154" s="416"/>
      <c r="B154" s="583" t="s">
        <v>989</v>
      </c>
      <c r="C154" s="410"/>
      <c r="D154" s="403"/>
      <c r="E154" s="403"/>
      <c r="F154" s="413"/>
      <c r="G154" s="413"/>
      <c r="H154" s="334"/>
      <c r="I154" s="410"/>
      <c r="J154" s="410"/>
      <c r="K154" s="413"/>
      <c r="L154" s="334"/>
      <c r="M154" s="410"/>
      <c r="N154" s="292"/>
      <c r="O154" s="412"/>
      <c r="P154" s="334"/>
    </row>
    <row r="155" spans="1:17" ht="96.75" customHeight="1" x14ac:dyDescent="0.25">
      <c r="A155" s="416"/>
      <c r="B155" s="404" t="s">
        <v>1211</v>
      </c>
      <c r="C155" s="410"/>
      <c r="D155" s="403"/>
      <c r="E155" s="403"/>
      <c r="F155" s="413"/>
      <c r="G155" s="413"/>
      <c r="H155" s="334"/>
      <c r="I155" s="410"/>
      <c r="J155" s="410"/>
      <c r="K155" s="413"/>
      <c r="L155" s="334"/>
      <c r="M155" s="410"/>
      <c r="N155" s="823">
        <v>4</v>
      </c>
      <c r="O155" s="412"/>
      <c r="P155" s="334"/>
    </row>
    <row r="156" spans="1:17" x14ac:dyDescent="0.25">
      <c r="A156" s="416"/>
      <c r="B156" s="556" t="s">
        <v>909</v>
      </c>
      <c r="C156" s="410"/>
      <c r="D156" s="403"/>
      <c r="E156" s="403"/>
      <c r="F156" s="413"/>
      <c r="G156" s="413"/>
      <c r="H156" s="334"/>
      <c r="I156" s="410"/>
      <c r="J156" s="410"/>
      <c r="K156" s="413"/>
      <c r="L156" s="334"/>
      <c r="M156" s="410"/>
      <c r="N156" s="413"/>
      <c r="O156" s="412"/>
      <c r="P156" s="334"/>
    </row>
    <row r="157" spans="1:17" ht="31.5" x14ac:dyDescent="0.25">
      <c r="A157" s="417"/>
      <c r="B157" s="421" t="s">
        <v>1209</v>
      </c>
      <c r="C157" s="418"/>
      <c r="D157" s="419"/>
      <c r="E157" s="419"/>
      <c r="F157" s="420"/>
      <c r="G157" s="420"/>
      <c r="H157" s="358"/>
      <c r="I157" s="418"/>
      <c r="J157" s="418"/>
      <c r="K157" s="420"/>
      <c r="L157" s="358"/>
      <c r="M157" s="418"/>
      <c r="N157" s="415">
        <v>87</v>
      </c>
      <c r="O157" s="412"/>
      <c r="P157" s="324"/>
    </row>
    <row r="158" spans="1:17" ht="99.75" customHeight="1" x14ac:dyDescent="0.25">
      <c r="A158" s="416"/>
      <c r="B158" s="404" t="s">
        <v>1310</v>
      </c>
      <c r="C158" s="410"/>
      <c r="D158" s="403"/>
      <c r="E158" s="403"/>
      <c r="F158" s="413"/>
      <c r="G158" s="413"/>
      <c r="H158" s="334"/>
      <c r="I158" s="410"/>
      <c r="J158" s="410"/>
      <c r="K158" s="413"/>
      <c r="L158" s="334"/>
      <c r="M158" s="410"/>
      <c r="N158" s="823">
        <v>-23207</v>
      </c>
      <c r="O158" s="412"/>
      <c r="P158" s="334"/>
    </row>
    <row r="159" spans="1:17" ht="31.5" x14ac:dyDescent="0.25">
      <c r="A159" s="416"/>
      <c r="B159" s="404" t="s">
        <v>1041</v>
      </c>
      <c r="C159" s="410"/>
      <c r="D159" s="403"/>
      <c r="E159" s="403"/>
      <c r="F159" s="413"/>
      <c r="G159" s="413"/>
      <c r="H159" s="334"/>
      <c r="I159" s="410"/>
      <c r="J159" s="410"/>
      <c r="K159" s="413"/>
      <c r="L159" s="334"/>
      <c r="M159" s="410"/>
      <c r="N159" s="823">
        <v>-4</v>
      </c>
      <c r="O159" s="412"/>
      <c r="P159" s="334"/>
    </row>
    <row r="160" spans="1:17" x14ac:dyDescent="0.25">
      <c r="A160" s="417"/>
      <c r="B160" s="421" t="s">
        <v>988</v>
      </c>
      <c r="C160" s="418"/>
      <c r="D160" s="419"/>
      <c r="E160" s="419"/>
      <c r="F160" s="420"/>
      <c r="G160" s="420"/>
      <c r="H160" s="358"/>
      <c r="I160" s="418"/>
      <c r="J160" s="418"/>
      <c r="K160" s="420"/>
      <c r="L160" s="358"/>
      <c r="M160" s="418"/>
      <c r="N160" s="420">
        <v>-488</v>
      </c>
      <c r="O160" s="412"/>
      <c r="P160" s="324"/>
    </row>
    <row r="161" spans="1:19" ht="31.5" x14ac:dyDescent="0.25">
      <c r="A161" s="417"/>
      <c r="B161" s="421" t="s">
        <v>910</v>
      </c>
      <c r="C161" s="418"/>
      <c r="D161" s="419"/>
      <c r="E161" s="419"/>
      <c r="F161" s="420"/>
      <c r="G161" s="420"/>
      <c r="H161" s="358"/>
      <c r="I161" s="418"/>
      <c r="J161" s="418"/>
      <c r="K161" s="420"/>
      <c r="L161" s="358"/>
      <c r="M161" s="418"/>
      <c r="N161" s="420">
        <v>-4618</v>
      </c>
      <c r="O161" s="412"/>
      <c r="P161" s="324"/>
    </row>
    <row r="162" spans="1:19" x14ac:dyDescent="0.25">
      <c r="A162" s="417"/>
      <c r="B162" s="421"/>
      <c r="C162" s="418"/>
      <c r="D162" s="419"/>
      <c r="E162" s="419"/>
      <c r="F162" s="420"/>
      <c r="G162" s="420"/>
      <c r="H162" s="358"/>
      <c r="I162" s="418"/>
      <c r="J162" s="418"/>
      <c r="K162" s="420"/>
      <c r="L162" s="358"/>
      <c r="M162" s="418"/>
      <c r="N162" s="420"/>
      <c r="O162" s="412"/>
      <c r="P162" s="324"/>
    </row>
    <row r="163" spans="1:19" ht="16.5" thickBot="1" x14ac:dyDescent="0.3">
      <c r="A163" s="359" t="s">
        <v>47</v>
      </c>
      <c r="B163" s="360" t="s">
        <v>48</v>
      </c>
      <c r="C163" s="418"/>
      <c r="D163" s="419"/>
      <c r="E163" s="419"/>
      <c r="F163" s="420"/>
      <c r="G163" s="420"/>
      <c r="H163" s="358"/>
      <c r="I163" s="418"/>
      <c r="J163" s="418"/>
      <c r="K163" s="420"/>
      <c r="L163" s="358"/>
      <c r="M163" s="361">
        <f>SUM(M80:M162)</f>
        <v>0</v>
      </c>
      <c r="N163" s="362">
        <f>SUM(N82:N162)</f>
        <v>1511246</v>
      </c>
      <c r="O163" s="358">
        <f>M163+N163</f>
        <v>1511246</v>
      </c>
      <c r="P163" s="324">
        <f>SUM(O163)</f>
        <v>1511246</v>
      </c>
      <c r="S163" s="351" t="s">
        <v>1050</v>
      </c>
    </row>
    <row r="164" spans="1:19" ht="17.25" thickTop="1" thickBot="1" x14ac:dyDescent="0.3">
      <c r="A164" s="363" t="s">
        <v>49</v>
      </c>
      <c r="B164" s="364" t="s">
        <v>50</v>
      </c>
      <c r="C164" s="365">
        <f t="shared" ref="C164:L164" si="44">SUM(C78:C163)</f>
        <v>361204</v>
      </c>
      <c r="D164" s="365">
        <f t="shared" si="44"/>
        <v>94456</v>
      </c>
      <c r="E164" s="365">
        <f t="shared" si="44"/>
        <v>9767780</v>
      </c>
      <c r="F164" s="365">
        <f t="shared" si="44"/>
        <v>220983</v>
      </c>
      <c r="G164" s="365">
        <f t="shared" si="44"/>
        <v>12419680</v>
      </c>
      <c r="H164" s="365">
        <f t="shared" si="44"/>
        <v>22864103</v>
      </c>
      <c r="I164" s="365">
        <f t="shared" si="44"/>
        <v>23457802</v>
      </c>
      <c r="J164" s="365">
        <f t="shared" si="44"/>
        <v>351447</v>
      </c>
      <c r="K164" s="365">
        <f t="shared" si="44"/>
        <v>2683933</v>
      </c>
      <c r="L164" s="365">
        <f t="shared" si="44"/>
        <v>26493182</v>
      </c>
      <c r="M164" s="365">
        <f>SUM(M78+M163)</f>
        <v>221850</v>
      </c>
      <c r="N164" s="365">
        <f>SUM(N78+N163)</f>
        <v>5705400</v>
      </c>
      <c r="O164" s="365">
        <f>SUM(O78+O163)</f>
        <v>5927250</v>
      </c>
      <c r="P164" s="365">
        <f>SUM(P78+P163)</f>
        <v>55284535</v>
      </c>
      <c r="S164" s="351">
        <f>+'11melléklet '!E254</f>
        <v>55284535</v>
      </c>
    </row>
    <row r="165" spans="1:19" hidden="1" x14ac:dyDescent="0.25">
      <c r="B165" s="406"/>
    </row>
    <row r="166" spans="1:19" hidden="1" x14ac:dyDescent="0.25">
      <c r="B166" s="406"/>
      <c r="C166" s="351">
        <f t="shared" ref="C166:P166" si="45">SUM(C164-C12)</f>
        <v>-946</v>
      </c>
      <c r="D166" s="351">
        <f t="shared" si="45"/>
        <v>-901</v>
      </c>
      <c r="E166" s="351">
        <f t="shared" si="45"/>
        <v>-95360</v>
      </c>
      <c r="F166" s="351">
        <f t="shared" si="45"/>
        <v>0</v>
      </c>
      <c r="G166" s="351">
        <f t="shared" si="45"/>
        <v>2016</v>
      </c>
      <c r="H166" s="351">
        <f t="shared" si="45"/>
        <v>-95191</v>
      </c>
      <c r="I166" s="351">
        <f t="shared" si="45"/>
        <v>95881</v>
      </c>
      <c r="J166" s="351">
        <f t="shared" si="45"/>
        <v>0</v>
      </c>
      <c r="K166" s="351">
        <f t="shared" si="45"/>
        <v>100</v>
      </c>
      <c r="L166" s="351">
        <f t="shared" si="45"/>
        <v>95981</v>
      </c>
      <c r="M166" s="351">
        <f t="shared" si="45"/>
        <v>0</v>
      </c>
      <c r="N166" s="351">
        <f t="shared" si="45"/>
        <v>1511246</v>
      </c>
      <c r="O166" s="351">
        <f t="shared" si="45"/>
        <v>1511246</v>
      </c>
      <c r="P166" s="351">
        <f t="shared" si="45"/>
        <v>1512036</v>
      </c>
    </row>
    <row r="167" spans="1:19" hidden="1" x14ac:dyDescent="0.25">
      <c r="B167" s="406"/>
      <c r="S167" s="351">
        <f>+P164-S164</f>
        <v>0</v>
      </c>
    </row>
    <row r="168" spans="1:19" hidden="1" x14ac:dyDescent="0.25">
      <c r="B168" s="406"/>
    </row>
    <row r="169" spans="1:19" x14ac:dyDescent="0.25">
      <c r="B169" s="406"/>
    </row>
    <row r="170" spans="1:19" x14ac:dyDescent="0.25">
      <c r="B170" s="406"/>
    </row>
    <row r="171" spans="1:19" x14ac:dyDescent="0.25">
      <c r="B171" s="406"/>
    </row>
    <row r="172" spans="1:19" x14ac:dyDescent="0.25">
      <c r="B172" s="406"/>
    </row>
    <row r="173" spans="1:19" x14ac:dyDescent="0.25">
      <c r="B173" s="406"/>
    </row>
    <row r="174" spans="1:19" x14ac:dyDescent="0.25">
      <c r="B174" s="406"/>
    </row>
    <row r="175" spans="1:19" x14ac:dyDescent="0.25">
      <c r="B175" s="406"/>
    </row>
    <row r="176" spans="1:19" x14ac:dyDescent="0.25">
      <c r="B176" s="406"/>
    </row>
    <row r="177" spans="2:2" x14ac:dyDescent="0.25">
      <c r="B177" s="406"/>
    </row>
    <row r="178" spans="2:2" x14ac:dyDescent="0.25">
      <c r="B178" s="406"/>
    </row>
    <row r="179" spans="2:2" x14ac:dyDescent="0.25">
      <c r="B179" s="406"/>
    </row>
    <row r="180" spans="2:2" x14ac:dyDescent="0.25">
      <c r="B180" s="406"/>
    </row>
    <row r="181" spans="2:2" x14ac:dyDescent="0.25">
      <c r="B181" s="406"/>
    </row>
    <row r="182" spans="2:2" x14ac:dyDescent="0.25">
      <c r="B182" s="406"/>
    </row>
  </sheetData>
  <mergeCells count="1">
    <mergeCell ref="A1:P1"/>
  </mergeCells>
  <phoneticPr fontId="39" type="noConversion"/>
  <printOptions horizontalCentered="1"/>
  <pageMargins left="0.19685039370078741" right="0.15748031496062992" top="0.78740157480314965" bottom="0.39370078740157483" header="0.43307086614173229" footer="0.19685039370078741"/>
  <pageSetup paperSize="9" scale="67" fitToHeight="0" orientation="landscape" r:id="rId1"/>
  <headerFooter alignWithMargins="0">
    <oddHeader>&amp;R&amp;"Times New Roman CE,Félkövér"&amp;11 9. melléklet a 12/2021.(II.25.) önkormányzati rendelethez&amp;12
&amp;"Times New Roman CE,Dőlt"&amp;10 10. melléklet
  az 5/2020.(II.17.) önkormányzati rendelethez</oddHeader>
  </headerFooter>
  <rowBreaks count="3" manualBreakCount="3">
    <brk id="37" max="17" man="1"/>
    <brk id="89" max="17" man="1"/>
    <brk id="158" max="1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20</vt:i4>
      </vt:variant>
      <vt:variant>
        <vt:lpstr>Névvel ellátott tartományok</vt:lpstr>
      </vt:variant>
      <vt:variant>
        <vt:i4>21</vt:i4>
      </vt:variant>
    </vt:vector>
  </HeadingPairs>
  <TitlesOfParts>
    <vt:vector size="41" baseType="lpstr">
      <vt:lpstr>1 bevétel (kötelező,önként)</vt:lpstr>
      <vt:lpstr>2 kiadás (kötelező, önként)</vt:lpstr>
      <vt:lpstr>3 bevétel(szűkített)</vt:lpstr>
      <vt:lpstr>4 kiadás(szűkített)</vt:lpstr>
      <vt:lpstr>5 egyenleg</vt:lpstr>
      <vt:lpstr>6 normatíva</vt:lpstr>
      <vt:lpstr>7 int. bevétel</vt:lpstr>
      <vt:lpstr>8 int.kiadás</vt:lpstr>
      <vt:lpstr>10 ök kiadás</vt:lpstr>
      <vt:lpstr>11melléklet </vt:lpstr>
      <vt:lpstr>12 fejlesztés </vt:lpstr>
      <vt:lpstr>13 Lakáselidegenítés</vt:lpstr>
      <vt:lpstr>14 Ktg.szervek felúj.</vt:lpstr>
      <vt:lpstr>15 épületek fentartási költ</vt:lpstr>
      <vt:lpstr>16működési és felhalm </vt:lpstr>
      <vt:lpstr>17előirányzat felhasz. </vt:lpstr>
      <vt:lpstr>18többéves</vt:lpstr>
      <vt:lpstr>19projektek </vt:lpstr>
      <vt:lpstr>21 kiemelt</vt:lpstr>
      <vt:lpstr>23 Környezetvéd.alap</vt:lpstr>
      <vt:lpstr>'1 bevétel (kötelező,önként)'!Nyomtatási_cím</vt:lpstr>
      <vt:lpstr>'10 ök kiadás'!Nyomtatási_cím</vt:lpstr>
      <vt:lpstr>'11melléklet '!Nyomtatási_cím</vt:lpstr>
      <vt:lpstr>'12 fejlesztés '!Nyomtatási_cím</vt:lpstr>
      <vt:lpstr>'14 Ktg.szervek felúj.'!Nyomtatási_cím</vt:lpstr>
      <vt:lpstr>'19projektek '!Nyomtatási_cím</vt:lpstr>
      <vt:lpstr>'2 kiadás (kötelező, önként)'!Nyomtatási_cím</vt:lpstr>
      <vt:lpstr>'3 bevétel(szűkített)'!Nyomtatási_cím</vt:lpstr>
      <vt:lpstr>'7 int. bevétel'!Nyomtatási_cím</vt:lpstr>
      <vt:lpstr>'8 int.kiadás'!Nyomtatási_cím</vt:lpstr>
      <vt:lpstr>'1 bevétel (kötelező,önként)'!Nyomtatási_terület</vt:lpstr>
      <vt:lpstr>'10 ök kiadás'!Nyomtatási_terület</vt:lpstr>
      <vt:lpstr>'11melléklet '!Nyomtatási_terület</vt:lpstr>
      <vt:lpstr>'12 fejlesztés '!Nyomtatási_terület</vt:lpstr>
      <vt:lpstr>'17előirányzat felhasz. '!Nyomtatási_terület</vt:lpstr>
      <vt:lpstr>'18többéves'!Nyomtatási_terület</vt:lpstr>
      <vt:lpstr>'19projektek '!Nyomtatási_terület</vt:lpstr>
      <vt:lpstr>'3 bevétel(szűkített)'!Nyomtatási_terület</vt:lpstr>
      <vt:lpstr>'4 kiadás(szűkített)'!Nyomtatási_terület</vt:lpstr>
      <vt:lpstr>'7 int. bevétel'!Nyomtatási_terület</vt:lpstr>
      <vt:lpstr>'8 int.kiadás'!Nyomtatási_terület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Polgármesteri Hivatal</dc:creator>
  <cp:lastModifiedBy>Windows-felhasználó</cp:lastModifiedBy>
  <cp:lastPrinted>2021-02-25T08:56:05Z</cp:lastPrinted>
  <dcterms:created xsi:type="dcterms:W3CDTF">2003-05-23T09:53:33Z</dcterms:created>
  <dcterms:modified xsi:type="dcterms:W3CDTF">2021-02-25T09:23:18Z</dcterms:modified>
</cp:coreProperties>
</file>