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Önkormányzat\R E N D E L E T E K\HATÁLYOS\2018\3_2018_költségvetési rendelet\ESZ\"/>
    </mc:Choice>
  </mc:AlternateContent>
  <bookViews>
    <workbookView xWindow="0" yWindow="0" windowWidth="28800" windowHeight="12330"/>
  </bookViews>
  <sheets>
    <sheet name="16. mellékl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2" i="1" l="1"/>
  <c r="E192" i="1"/>
  <c r="G191" i="1"/>
  <c r="G192" i="1" s="1"/>
  <c r="B45" i="1"/>
  <c r="B44" i="1"/>
  <c r="B43" i="1"/>
  <c r="B42" i="1"/>
  <c r="B41" i="1"/>
  <c r="B40" i="1"/>
  <c r="B39" i="1"/>
  <c r="N38" i="1"/>
  <c r="M38" i="1"/>
  <c r="K38" i="1"/>
  <c r="H38" i="1"/>
  <c r="B38" i="1" s="1"/>
  <c r="G38" i="1"/>
  <c r="E38" i="1"/>
  <c r="N37" i="1"/>
  <c r="K37" i="1"/>
  <c r="H37" i="1"/>
  <c r="G37" i="1"/>
  <c r="E37" i="1"/>
  <c r="B37" i="1" s="1"/>
  <c r="N36" i="1"/>
  <c r="M36" i="1"/>
  <c r="L36" i="1"/>
  <c r="J36" i="1"/>
  <c r="B36" i="1" s="1"/>
  <c r="B35" i="1"/>
  <c r="E34" i="1"/>
  <c r="B34" i="1" s="1"/>
  <c r="B33" i="1"/>
  <c r="N32" i="1"/>
  <c r="M32" i="1"/>
  <c r="L32" i="1"/>
  <c r="K32" i="1"/>
  <c r="J32" i="1"/>
  <c r="B32" i="1"/>
  <c r="N31" i="1"/>
  <c r="M31" i="1"/>
  <c r="L31" i="1"/>
  <c r="J31" i="1"/>
  <c r="H31" i="1"/>
  <c r="G31" i="1"/>
  <c r="F31" i="1"/>
  <c r="E31" i="1"/>
  <c r="D31" i="1"/>
  <c r="B31" i="1" s="1"/>
  <c r="C31" i="1"/>
  <c r="N30" i="1"/>
  <c r="M30" i="1"/>
  <c r="L30" i="1"/>
  <c r="K30" i="1"/>
  <c r="J30" i="1"/>
  <c r="I30" i="1"/>
  <c r="H30" i="1"/>
  <c r="G30" i="1"/>
  <c r="F30" i="1"/>
  <c r="B30" i="1" s="1"/>
  <c r="E30" i="1"/>
  <c r="C30" i="1"/>
  <c r="N29" i="1"/>
  <c r="M29" i="1"/>
  <c r="L29" i="1"/>
  <c r="K29" i="1"/>
  <c r="J29" i="1"/>
  <c r="I29" i="1"/>
  <c r="H29" i="1"/>
  <c r="G29" i="1"/>
  <c r="F29" i="1"/>
  <c r="E29" i="1"/>
  <c r="D29" i="1"/>
  <c r="C29" i="1"/>
  <c r="B29" i="1"/>
  <c r="N28" i="1"/>
  <c r="N46" i="1" s="1"/>
  <c r="M28" i="1"/>
  <c r="M46" i="1" s="1"/>
  <c r="L28" i="1"/>
  <c r="L46" i="1" s="1"/>
  <c r="K28" i="1"/>
  <c r="K46" i="1" s="1"/>
  <c r="J28" i="1"/>
  <c r="J46" i="1" s="1"/>
  <c r="I28" i="1"/>
  <c r="I46" i="1" s="1"/>
  <c r="H28" i="1"/>
  <c r="H46" i="1" s="1"/>
  <c r="G28" i="1"/>
  <c r="G46" i="1" s="1"/>
  <c r="F28" i="1"/>
  <c r="F46" i="1" s="1"/>
  <c r="E28" i="1"/>
  <c r="E46" i="1" s="1"/>
  <c r="D28" i="1"/>
  <c r="D46" i="1" s="1"/>
  <c r="C28" i="1"/>
  <c r="B28" i="1" s="1"/>
  <c r="B46" i="1" s="1"/>
  <c r="L25" i="1"/>
  <c r="I25" i="1"/>
  <c r="D25" i="1"/>
  <c r="B24" i="1"/>
  <c r="B23" i="1"/>
  <c r="B22" i="1"/>
  <c r="H21" i="1"/>
  <c r="B21" i="1"/>
  <c r="H20" i="1"/>
  <c r="B20" i="1" s="1"/>
  <c r="K19" i="1"/>
  <c r="J19" i="1"/>
  <c r="B19" i="1"/>
  <c r="B18" i="1"/>
  <c r="B17" i="1"/>
  <c r="M16" i="1"/>
  <c r="B16" i="1"/>
  <c r="B15" i="1"/>
  <c r="B14" i="1"/>
  <c r="B13" i="1"/>
  <c r="N12" i="1"/>
  <c r="L12" i="1"/>
  <c r="J12" i="1"/>
  <c r="J25" i="1" s="1"/>
  <c r="G12" i="1"/>
  <c r="G25" i="1" s="1"/>
  <c r="E12" i="1"/>
  <c r="B12" i="1" s="1"/>
  <c r="B11" i="1"/>
  <c r="N10" i="1"/>
  <c r="M10" i="1"/>
  <c r="L10" i="1"/>
  <c r="B10" i="1" s="1"/>
  <c r="K10" i="1"/>
  <c r="B9" i="1"/>
  <c r="N8" i="1"/>
  <c r="N25" i="1" s="1"/>
  <c r="M8" i="1"/>
  <c r="M25" i="1" s="1"/>
  <c r="L8" i="1"/>
  <c r="K8" i="1"/>
  <c r="K25" i="1" s="1"/>
  <c r="F8" i="1"/>
  <c r="F25" i="1" s="1"/>
  <c r="E8" i="1"/>
  <c r="E25" i="1" s="1"/>
  <c r="D8" i="1"/>
  <c r="C8" i="1"/>
  <c r="C25" i="1" s="1"/>
  <c r="H25" i="1" l="1"/>
  <c r="C46" i="1"/>
  <c r="C47" i="1" s="1"/>
  <c r="D7" i="1" s="1"/>
  <c r="D47" i="1" s="1"/>
  <c r="E7" i="1" s="1"/>
  <c r="E47" i="1" s="1"/>
  <c r="F7" i="1" s="1"/>
  <c r="F47" i="1" s="1"/>
  <c r="G7" i="1" s="1"/>
  <c r="G47" i="1" s="1"/>
  <c r="H7" i="1" s="1"/>
  <c r="H47" i="1" s="1"/>
  <c r="I7" i="1" s="1"/>
  <c r="I47" i="1" s="1"/>
  <c r="J7" i="1" s="1"/>
  <c r="J47" i="1" s="1"/>
  <c r="K7" i="1" s="1"/>
  <c r="K47" i="1" s="1"/>
  <c r="L7" i="1" s="1"/>
  <c r="L47" i="1" s="1"/>
  <c r="M7" i="1" s="1"/>
  <c r="M47" i="1" s="1"/>
  <c r="N7" i="1" s="1"/>
  <c r="N47" i="1" s="1"/>
  <c r="B8" i="1"/>
  <c r="B25" i="1" s="1"/>
</calcChain>
</file>

<file path=xl/sharedStrings.xml><?xml version="1.0" encoding="utf-8"?>
<sst xmlns="http://schemas.openxmlformats.org/spreadsheetml/2006/main" count="71" uniqueCount="57">
  <si>
    <t>Önkormányzatok működési támogatásai</t>
  </si>
  <si>
    <t>Személyi juttatások</t>
  </si>
  <si>
    <t>Elvonások és befizetések bevételei</t>
  </si>
  <si>
    <t>Munkáltatót terh.jár. és szoc.hozzáj. adó</t>
  </si>
  <si>
    <t xml:space="preserve">Egyéb műk.c.tám.bev. áh.n belülről </t>
  </si>
  <si>
    <t>Dologi kiadás</t>
  </si>
  <si>
    <t xml:space="preserve">Közhatalmi bevételek </t>
  </si>
  <si>
    <t>Ellátottak pénzbeli juttatásai</t>
  </si>
  <si>
    <t>Működési bevételek</t>
  </si>
  <si>
    <t>Műk.c.visszat.tám.,kölcs.visszat.áh.n kívülről</t>
  </si>
  <si>
    <t>Egyéb műk.c.támog.áh.n belülre</t>
  </si>
  <si>
    <t>Egyéb működési célú átvett pénzeszk.</t>
  </si>
  <si>
    <t>Műk.c.visszat.támog., kölcs.nyújt.áh.n kívülre</t>
  </si>
  <si>
    <t>Egyéb műk.c.támog.áh.n kívülre</t>
  </si>
  <si>
    <t>Felhalmozási célú önkorm.i támogatások</t>
  </si>
  <si>
    <t>Beruházások</t>
  </si>
  <si>
    <t xml:space="preserve">Egyéb felhalm.c.tám.bev. áh.n belülről </t>
  </si>
  <si>
    <t>Felújítások</t>
  </si>
  <si>
    <t>Immat. jav.,ingatlanok., egyéb tárgyi e.érték.</t>
  </si>
  <si>
    <t>Egyéb felhalm.c.támog.áh.n belülre</t>
  </si>
  <si>
    <t>Felhalm.c.visszat.tám.,kölcs.visszat.áh.n kívülről</t>
  </si>
  <si>
    <t>Felhalm.c.visszat.támog.kölcs.,nyújt.áh.n kívülre</t>
  </si>
  <si>
    <t>Egyéb felhalmozási célú átvett pénzeszk.</t>
  </si>
  <si>
    <t>Egyéb felhalm.c.támog.áh.n kívülre</t>
  </si>
  <si>
    <t>Maradvány igénybevétele felj.célra</t>
  </si>
  <si>
    <t>Hosszú lej.hitelek, kölcsönök törlesztése</t>
  </si>
  <si>
    <t>Maradvány igénybevétele műk.célra</t>
  </si>
  <si>
    <t>Belföldi értékpapírok kiadásai</t>
  </si>
  <si>
    <t>Belföldi értékpapírok bevételei</t>
  </si>
  <si>
    <t>Elvonások, befizetések</t>
  </si>
  <si>
    <t>Felsőörs község Önkormányzata</t>
  </si>
  <si>
    <t>Államháztartáson belüli megelőlegezés</t>
  </si>
  <si>
    <t>Egyéb finanszírozási bevételek</t>
  </si>
  <si>
    <t>Záró pénzeszköz</t>
  </si>
  <si>
    <t>"16. melléklet a  4/2017.(III.08.)önkormányzati rendelethez"</t>
  </si>
  <si>
    <t>2017. évi előirányzat felhasználási ütemterve (Ft-ban)</t>
  </si>
  <si>
    <t>16. melléklet a  3/2018.(II.28.) önkormányzati rendelethez, hatályos 2018. március 1-től</t>
  </si>
  <si>
    <t>Bevétel megnevezése</t>
  </si>
  <si>
    <t>Előirányzat</t>
  </si>
  <si>
    <t>Január</t>
  </si>
  <si>
    <t>Február</t>
  </si>
  <si>
    <t>Március</t>
  </si>
  <si>
    <t>Április</t>
  </si>
  <si>
    <t xml:space="preserve">Május </t>
  </si>
  <si>
    <t>Június</t>
  </si>
  <si>
    <t>Július</t>
  </si>
  <si>
    <t>Augusztus</t>
  </si>
  <si>
    <t>Szeptember</t>
  </si>
  <si>
    <t>Október</t>
  </si>
  <si>
    <t>November</t>
  </si>
  <si>
    <t>December</t>
  </si>
  <si>
    <t>Induló pénzkészlet</t>
  </si>
  <si>
    <t>Maradvány igénybevétel finanszírozási célra</t>
  </si>
  <si>
    <t xml:space="preserve">Önkormányzat összesen: </t>
  </si>
  <si>
    <t xml:space="preserve">Kiadás megnevezése </t>
  </si>
  <si>
    <t>Műk.célú tartalék</t>
  </si>
  <si>
    <t>Felh.célú tartalék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</si>
</sst>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F_t_-;\-* #,##0.00\ _F_t_-;_-* &quot;-&quot;??\ _F_t_-;_-@_-"/>
    <numFmt numFmtId="164" formatCode="#\ ##0"/>
    <numFmt numFmtId="172" formatCode="#\ ##0\ ##0"/>
    <numFmt numFmtId="173" formatCode="#.00\ ##0"/>
  </numFmts>
  <fonts count="18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Times New Roman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9"/>
      <name val="Arial CE"/>
      <charset val="238"/>
    </font>
    <font>
      <sz val="11"/>
      <color rgb="FFFF0000"/>
      <name val="Arial"/>
      <family val="2"/>
      <charset val="238"/>
    </font>
    <font>
      <sz val="8"/>
      <name val="Arial CE"/>
      <charset val="238"/>
    </font>
    <font>
      <b/>
      <sz val="8"/>
      <name val="Times New Roman CE"/>
      <charset val="238"/>
    </font>
    <font>
      <b/>
      <sz val="8"/>
      <name val="Arial Cyr"/>
      <family val="2"/>
      <charset val="204"/>
    </font>
    <font>
      <b/>
      <sz val="10"/>
      <name val="Times New Roman"/>
      <family val="1"/>
      <charset val="238"/>
    </font>
    <font>
      <b/>
      <sz val="10"/>
      <name val="Times New Roman CE"/>
      <family val="1"/>
      <charset val="238"/>
    </font>
    <font>
      <sz val="10"/>
      <name val="Times New Roman CE"/>
      <family val="1"/>
      <charset val="238"/>
    </font>
    <font>
      <sz val="9"/>
      <name val="Times New Roman CE"/>
      <family val="1"/>
      <charset val="238"/>
    </font>
    <font>
      <b/>
      <sz val="9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84">
    <xf numFmtId="0" fontId="0" fillId="0" borderId="0" xfId="0"/>
    <xf numFmtId="0" fontId="2" fillId="0" borderId="8" xfId="0" applyFont="1" applyFill="1" applyBorder="1"/>
    <xf numFmtId="3" fontId="1" fillId="0" borderId="12" xfId="0" applyNumberFormat="1" applyFont="1" applyFill="1" applyBorder="1"/>
    <xf numFmtId="0" fontId="2" fillId="0" borderId="7" xfId="0" applyFont="1" applyFill="1" applyBorder="1"/>
    <xf numFmtId="0" fontId="2" fillId="0" borderId="11" xfId="0" applyFont="1" applyFill="1" applyBorder="1"/>
    <xf numFmtId="0" fontId="4" fillId="0" borderId="0" xfId="0" applyFont="1" applyAlignment="1">
      <alignment horizontal="center"/>
    </xf>
    <xf numFmtId="0" fontId="0" fillId="0" borderId="0" xfId="0" applyFill="1"/>
    <xf numFmtId="3" fontId="0" fillId="0" borderId="0" xfId="0" applyNumberFormat="1"/>
    <xf numFmtId="0" fontId="6" fillId="0" borderId="0" xfId="0" applyFont="1" applyAlignment="1">
      <alignment horizontal="center"/>
    </xf>
    <xf numFmtId="3" fontId="0" fillId="0" borderId="0" xfId="0" applyNumberFormat="1" applyFill="1"/>
    <xf numFmtId="0" fontId="0" fillId="0" borderId="0" xfId="0" applyBorder="1"/>
    <xf numFmtId="0" fontId="9" fillId="0" borderId="0" xfId="0" applyFont="1"/>
    <xf numFmtId="3" fontId="3" fillId="0" borderId="0" xfId="0" applyNumberFormat="1" applyFont="1" applyBorder="1"/>
    <xf numFmtId="3" fontId="0" fillId="0" borderId="0" xfId="0" applyNumberFormat="1" applyBorder="1"/>
    <xf numFmtId="0" fontId="8" fillId="0" borderId="0" xfId="0" applyFont="1" applyBorder="1" applyAlignment="1"/>
    <xf numFmtId="0" fontId="8" fillId="0" borderId="0" xfId="0" applyFont="1" applyBorder="1" applyAlignment="1">
      <alignment horizontal="right"/>
    </xf>
    <xf numFmtId="0" fontId="10" fillId="0" borderId="1" xfId="0" applyFont="1" applyBorder="1" applyAlignment="1">
      <alignment horizontal="right"/>
    </xf>
    <xf numFmtId="0" fontId="11" fillId="0" borderId="4" xfId="0" applyFont="1" applyBorder="1" applyAlignment="1"/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1" fillId="0" borderId="14" xfId="0" applyFont="1" applyBorder="1" applyAlignment="1"/>
    <xf numFmtId="3" fontId="12" fillId="0" borderId="2" xfId="0" applyNumberFormat="1" applyFont="1" applyFill="1" applyBorder="1" applyAlignment="1">
      <alignment horizontal="center"/>
    </xf>
    <xf numFmtId="3" fontId="13" fillId="0" borderId="13" xfId="0" applyNumberFormat="1" applyFont="1" applyFill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0" fontId="2" fillId="0" borderId="6" xfId="0" applyFont="1" applyBorder="1"/>
    <xf numFmtId="3" fontId="14" fillId="0" borderId="16" xfId="0" applyNumberFormat="1" applyFont="1" applyFill="1" applyBorder="1"/>
    <xf numFmtId="3" fontId="5" fillId="0" borderId="29" xfId="0" applyNumberFormat="1" applyFont="1" applyFill="1" applyBorder="1"/>
    <xf numFmtId="3" fontId="5" fillId="0" borderId="32" xfId="0" applyNumberFormat="1" applyFont="1" applyFill="1" applyBorder="1"/>
    <xf numFmtId="3" fontId="5" fillId="0" borderId="26" xfId="0" applyNumberFormat="1" applyFont="1" applyFill="1" applyBorder="1"/>
    <xf numFmtId="164" fontId="4" fillId="0" borderId="0" xfId="0" applyNumberFormat="1" applyFont="1" applyFill="1" applyBorder="1"/>
    <xf numFmtId="0" fontId="2" fillId="0" borderId="8" xfId="0" applyFont="1" applyBorder="1"/>
    <xf numFmtId="3" fontId="14" fillId="0" borderId="11" xfId="0" applyNumberFormat="1" applyFont="1" applyFill="1" applyBorder="1"/>
    <xf numFmtId="3" fontId="5" fillId="0" borderId="20" xfId="0" applyNumberFormat="1" applyFont="1" applyFill="1" applyBorder="1"/>
    <xf numFmtId="3" fontId="5" fillId="0" borderId="23" xfId="0" applyNumberFormat="1" applyFont="1" applyFill="1" applyBorder="1"/>
    <xf numFmtId="3" fontId="5" fillId="0" borderId="24" xfId="0" applyNumberFormat="1" applyFont="1" applyFill="1" applyBorder="1"/>
    <xf numFmtId="0" fontId="2" fillId="0" borderId="9" xfId="0" applyFont="1" applyBorder="1"/>
    <xf numFmtId="3" fontId="15" fillId="0" borderId="11" xfId="0" applyNumberFormat="1" applyFont="1" applyFill="1" applyBorder="1"/>
    <xf numFmtId="3" fontId="15" fillId="0" borderId="23" xfId="0" applyNumberFormat="1" applyFont="1" applyFill="1" applyBorder="1"/>
    <xf numFmtId="3" fontId="15" fillId="0" borderId="10" xfId="0" applyNumberFormat="1" applyFont="1" applyFill="1" applyBorder="1"/>
    <xf numFmtId="3" fontId="15" fillId="0" borderId="0" xfId="0" applyNumberFormat="1" applyFont="1" applyFill="1" applyBorder="1"/>
    <xf numFmtId="3" fontId="15" fillId="0" borderId="20" xfId="0" applyNumberFormat="1" applyFont="1" applyFill="1" applyBorder="1"/>
    <xf numFmtId="3" fontId="0" fillId="0" borderId="23" xfId="0" applyNumberFormat="1" applyBorder="1"/>
    <xf numFmtId="3" fontId="15" fillId="0" borderId="24" xfId="0" applyNumberFormat="1" applyFont="1" applyFill="1" applyBorder="1"/>
    <xf numFmtId="3" fontId="0" fillId="0" borderId="0" xfId="0" applyNumberFormat="1" applyFill="1" applyBorder="1"/>
    <xf numFmtId="3" fontId="5" fillId="0" borderId="11" xfId="0" applyNumberFormat="1" applyFont="1" applyFill="1" applyBorder="1"/>
    <xf numFmtId="3" fontId="15" fillId="0" borderId="21" xfId="0" applyNumberFormat="1" applyFont="1" applyFill="1" applyBorder="1"/>
    <xf numFmtId="0" fontId="2" fillId="0" borderId="20" xfId="0" applyFont="1" applyBorder="1" applyAlignment="1">
      <alignment horizontal="left"/>
    </xf>
    <xf numFmtId="3" fontId="15" fillId="0" borderId="17" xfId="0" applyNumberFormat="1" applyFont="1" applyFill="1" applyBorder="1"/>
    <xf numFmtId="3" fontId="15" fillId="0" borderId="25" xfId="0" applyNumberFormat="1" applyFont="1" applyFill="1" applyBorder="1"/>
    <xf numFmtId="3" fontId="15" fillId="0" borderId="18" xfId="0" applyNumberFormat="1" applyFont="1" applyFill="1" applyBorder="1"/>
    <xf numFmtId="3" fontId="15" fillId="0" borderId="28" xfId="0" applyNumberFormat="1" applyFont="1" applyFill="1" applyBorder="1"/>
    <xf numFmtId="0" fontId="2" fillId="0" borderId="11" xfId="0" applyFont="1" applyBorder="1" applyAlignment="1">
      <alignment horizontal="left"/>
    </xf>
    <xf numFmtId="0" fontId="2" fillId="0" borderId="11" xfId="0" applyFont="1" applyFill="1" applyBorder="1" applyAlignment="1">
      <alignment horizontal="left"/>
    </xf>
    <xf numFmtId="3" fontId="15" fillId="0" borderId="30" xfId="0" applyNumberFormat="1" applyFont="1" applyFill="1" applyBorder="1"/>
    <xf numFmtId="3" fontId="15" fillId="0" borderId="31" xfId="0" applyNumberFormat="1" applyFont="1" applyFill="1" applyBorder="1"/>
    <xf numFmtId="3" fontId="5" fillId="0" borderId="31" xfId="0" applyNumberFormat="1" applyFont="1" applyFill="1" applyBorder="1"/>
    <xf numFmtId="3" fontId="15" fillId="0" borderId="27" xfId="0" applyNumberFormat="1" applyFont="1" applyFill="1" applyBorder="1"/>
    <xf numFmtId="0" fontId="12" fillId="0" borderId="14" xfId="0" applyFont="1" applyBorder="1"/>
    <xf numFmtId="3" fontId="14" fillId="0" borderId="4" xfId="0" applyNumberFormat="1" applyFont="1" applyFill="1" applyBorder="1"/>
    <xf numFmtId="3" fontId="14" fillId="0" borderId="3" xfId="0" applyNumberFormat="1" applyFont="1" applyBorder="1"/>
    <xf numFmtId="3" fontId="14" fillId="0" borderId="15" xfId="0" applyNumberFormat="1" applyFont="1" applyBorder="1"/>
    <xf numFmtId="0" fontId="16" fillId="2" borderId="0" xfId="0" applyFont="1" applyFill="1"/>
    <xf numFmtId="0" fontId="0" fillId="2" borderId="0" xfId="0" applyFill="1"/>
    <xf numFmtId="0" fontId="1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left"/>
    </xf>
    <xf numFmtId="3" fontId="4" fillId="0" borderId="6" xfId="0" applyNumberFormat="1" applyFont="1" applyFill="1" applyBorder="1"/>
    <xf numFmtId="3" fontId="15" fillId="0" borderId="19" xfId="0" applyNumberFormat="1" applyFont="1" applyFill="1" applyBorder="1"/>
    <xf numFmtId="173" fontId="4" fillId="0" borderId="0" xfId="0" applyNumberFormat="1" applyFont="1" applyFill="1" applyBorder="1"/>
    <xf numFmtId="0" fontId="2" fillId="0" borderId="21" xfId="0" applyFont="1" applyBorder="1" applyAlignment="1">
      <alignment horizontal="left"/>
    </xf>
    <xf numFmtId="3" fontId="4" fillId="0" borderId="9" xfId="0" applyNumberFormat="1" applyFont="1" applyFill="1" applyBorder="1"/>
    <xf numFmtId="0" fontId="2" fillId="0" borderId="21" xfId="0" applyFont="1" applyFill="1" applyBorder="1" applyAlignment="1">
      <alignment horizontal="left"/>
    </xf>
    <xf numFmtId="0" fontId="0" fillId="0" borderId="0" xfId="0" applyFill="1" applyBorder="1"/>
    <xf numFmtId="3" fontId="0" fillId="0" borderId="12" xfId="0" applyNumberFormat="1" applyBorder="1"/>
    <xf numFmtId="0" fontId="2" fillId="0" borderId="21" xfId="0" applyFont="1" applyBorder="1"/>
    <xf numFmtId="3" fontId="1" fillId="0" borderId="12" xfId="0" applyNumberFormat="1" applyFont="1" applyBorder="1"/>
    <xf numFmtId="0" fontId="16" fillId="0" borderId="21" xfId="0" applyFont="1" applyFill="1" applyBorder="1"/>
    <xf numFmtId="0" fontId="2" fillId="0" borderId="21" xfId="0" applyFont="1" applyFill="1" applyBorder="1"/>
    <xf numFmtId="3" fontId="15" fillId="0" borderId="9" xfId="0" applyNumberFormat="1" applyFont="1" applyFill="1" applyBorder="1"/>
    <xf numFmtId="0" fontId="17" fillId="0" borderId="14" xfId="0" applyFont="1" applyBorder="1"/>
    <xf numFmtId="172" fontId="4" fillId="0" borderId="4" xfId="0" applyNumberFormat="1" applyFont="1" applyFill="1" applyBorder="1"/>
    <xf numFmtId="172" fontId="4" fillId="0" borderId="14" xfId="0" applyNumberFormat="1" applyFont="1" applyBorder="1"/>
    <xf numFmtId="172" fontId="4" fillId="0" borderId="4" xfId="0" applyNumberFormat="1" applyFont="1" applyBorder="1"/>
    <xf numFmtId="172" fontId="14" fillId="0" borderId="3" xfId="0" applyNumberFormat="1" applyFont="1" applyBorder="1"/>
    <xf numFmtId="0" fontId="16" fillId="0" borderId="0" xfId="0" applyFont="1"/>
  </cellXfs>
  <cellStyles count="9">
    <cellStyle name="Ezres 2" xfId="8"/>
    <cellStyle name="Ezres 3" xfId="7"/>
    <cellStyle name="Normál" xfId="0" builtinId="0"/>
    <cellStyle name="Normál 2 2" xfId="1"/>
    <cellStyle name="Normál 3" xfId="3"/>
    <cellStyle name="Normál 3 2" xfId="4"/>
    <cellStyle name="Normál 5" xfId="2"/>
    <cellStyle name="Normál 6" xfId="5"/>
    <cellStyle name="Százalék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2"/>
  <sheetViews>
    <sheetView tabSelected="1" workbookViewId="0">
      <selection sqref="A1:XFD1048576"/>
    </sheetView>
  </sheetViews>
  <sheetFormatPr defaultRowHeight="15" x14ac:dyDescent="0.25"/>
  <cols>
    <col min="1" max="1" width="35" bestFit="1" customWidth="1"/>
    <col min="2" max="14" width="12" bestFit="1" customWidth="1"/>
    <col min="16" max="16" width="11.85546875" bestFit="1" customWidth="1"/>
    <col min="17" max="17" width="15.140625" customWidth="1"/>
    <col min="18" max="18" width="12.5703125" bestFit="1" customWidth="1"/>
    <col min="21" max="21" width="10.85546875" bestFit="1" customWidth="1"/>
  </cols>
  <sheetData>
    <row r="1" spans="1:19" x14ac:dyDescent="0.25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9" x14ac:dyDescent="0.25">
      <c r="A2" s="5" t="s">
        <v>30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4"/>
      <c r="P2" s="14"/>
    </row>
    <row r="3" spans="1:19" x14ac:dyDescent="0.25">
      <c r="A3" s="5" t="s">
        <v>35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10"/>
      <c r="P3" s="10"/>
    </row>
    <row r="4" spans="1:19" x14ac:dyDescent="0.25">
      <c r="K4" s="15"/>
      <c r="L4" s="15"/>
      <c r="M4" s="15"/>
      <c r="N4" s="15"/>
      <c r="O4" s="10"/>
      <c r="P4" s="10"/>
    </row>
    <row r="5" spans="1:19" ht="15.75" thickBot="1" x14ac:dyDescent="0.3">
      <c r="A5" s="16" t="s">
        <v>36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9" ht="15.75" thickBot="1" x14ac:dyDescent="0.3">
      <c r="A6" s="17" t="s">
        <v>37</v>
      </c>
      <c r="B6" s="18" t="s">
        <v>38</v>
      </c>
      <c r="C6" s="19" t="s">
        <v>39</v>
      </c>
      <c r="D6" s="18" t="s">
        <v>40</v>
      </c>
      <c r="E6" s="18" t="s">
        <v>41</v>
      </c>
      <c r="F6" s="18" t="s">
        <v>42</v>
      </c>
      <c r="G6" s="18" t="s">
        <v>43</v>
      </c>
      <c r="H6" s="18" t="s">
        <v>44</v>
      </c>
      <c r="I6" s="18" t="s">
        <v>45</v>
      </c>
      <c r="J6" s="18" t="s">
        <v>46</v>
      </c>
      <c r="K6" s="18" t="s">
        <v>47</v>
      </c>
      <c r="L6" s="18" t="s">
        <v>48</v>
      </c>
      <c r="M6" s="18" t="s">
        <v>49</v>
      </c>
      <c r="N6" s="18" t="s">
        <v>50</v>
      </c>
    </row>
    <row r="7" spans="1:19" ht="15.75" thickBot="1" x14ac:dyDescent="0.3">
      <c r="A7" s="20" t="s">
        <v>51</v>
      </c>
      <c r="B7" s="21"/>
      <c r="C7" s="22">
        <v>270889265</v>
      </c>
      <c r="D7" s="23">
        <f>C47</f>
        <v>264954574</v>
      </c>
      <c r="E7" s="23">
        <f t="shared" ref="E7:M7" si="0">D47</f>
        <v>265493329</v>
      </c>
      <c r="F7" s="23">
        <f t="shared" si="0"/>
        <v>259157518</v>
      </c>
      <c r="G7" s="23">
        <f t="shared" si="0"/>
        <v>254095475</v>
      </c>
      <c r="H7" s="23">
        <f t="shared" si="0"/>
        <v>234354479</v>
      </c>
      <c r="I7" s="23">
        <f t="shared" si="0"/>
        <v>453507657</v>
      </c>
      <c r="J7" s="23">
        <f t="shared" si="0"/>
        <v>435996700</v>
      </c>
      <c r="K7" s="23">
        <f t="shared" si="0"/>
        <v>373558393</v>
      </c>
      <c r="L7" s="23">
        <f t="shared" si="0"/>
        <v>352623642</v>
      </c>
      <c r="M7" s="23">
        <f t="shared" si="0"/>
        <v>307743999</v>
      </c>
      <c r="N7" s="23">
        <f>M47</f>
        <v>286544405</v>
      </c>
      <c r="R7" s="13"/>
    </row>
    <row r="8" spans="1:19" x14ac:dyDescent="0.25">
      <c r="A8" s="24" t="s">
        <v>0</v>
      </c>
      <c r="B8" s="25">
        <f>SUM(C8:N8)</f>
        <v>119298918</v>
      </c>
      <c r="C8" s="26">
        <f>9753000+20535+2277+700</f>
        <v>9776512</v>
      </c>
      <c r="D8" s="27">
        <f>8939000+19875</f>
        <v>8958875</v>
      </c>
      <c r="E8" s="27">
        <f>7565000+19875</f>
        <v>7584875</v>
      </c>
      <c r="F8" s="27">
        <f>10193000+19875</f>
        <v>10212875</v>
      </c>
      <c r="G8" s="27">
        <v>8895875</v>
      </c>
      <c r="H8" s="27">
        <v>9479983</v>
      </c>
      <c r="I8" s="27">
        <v>9264496</v>
      </c>
      <c r="J8" s="27">
        <v>20814610</v>
      </c>
      <c r="K8" s="27">
        <f>9021848+11163+3782+16093</f>
        <v>9052886</v>
      </c>
      <c r="L8" s="27">
        <f>8981848+764540+11163+3782+16093</f>
        <v>9777426</v>
      </c>
      <c r="M8" s="27">
        <f>8053082+11163+3782+16093</f>
        <v>8084120</v>
      </c>
      <c r="N8" s="28">
        <f>7115992+280393</f>
        <v>7396385</v>
      </c>
      <c r="P8" s="13"/>
      <c r="Q8" s="29"/>
      <c r="R8" s="13"/>
    </row>
    <row r="9" spans="1:19" x14ac:dyDescent="0.25">
      <c r="A9" s="30" t="s">
        <v>2</v>
      </c>
      <c r="B9" s="31">
        <f t="shared" ref="B9:B24" si="1">SUM(C9:N9)</f>
        <v>0</v>
      </c>
      <c r="C9" s="32"/>
      <c r="D9" s="33"/>
      <c r="E9" s="33"/>
      <c r="F9" s="33"/>
      <c r="G9" s="33"/>
      <c r="H9" s="33"/>
      <c r="I9" s="33"/>
      <c r="J9" s="33"/>
      <c r="K9" s="33"/>
      <c r="L9" s="33"/>
      <c r="M9" s="33"/>
      <c r="N9" s="34"/>
      <c r="P9" s="13"/>
      <c r="Q9" s="29"/>
      <c r="R9" s="13"/>
    </row>
    <row r="10" spans="1:19" x14ac:dyDescent="0.25">
      <c r="A10" s="35" t="s">
        <v>4</v>
      </c>
      <c r="B10" s="31">
        <f t="shared" si="1"/>
        <v>20024272</v>
      </c>
      <c r="C10" s="36">
        <v>26100</v>
      </c>
      <c r="D10" s="37">
        <v>186305</v>
      </c>
      <c r="E10" s="37">
        <v>226121</v>
      </c>
      <c r="F10" s="37">
        <v>226221</v>
      </c>
      <c r="G10" s="37">
        <v>300100</v>
      </c>
      <c r="H10" s="37">
        <v>426120</v>
      </c>
      <c r="I10" s="37">
        <v>410000</v>
      </c>
      <c r="J10" s="37">
        <v>340121</v>
      </c>
      <c r="K10" s="37">
        <f>214124+183327</f>
        <v>397451</v>
      </c>
      <c r="L10" s="37">
        <f>226121+500000+116663</f>
        <v>842784</v>
      </c>
      <c r="M10" s="37">
        <f>126121+625185+114000+420619</f>
        <v>1285925</v>
      </c>
      <c r="N10" s="38">
        <f>120000+15237024</f>
        <v>15357024</v>
      </c>
      <c r="O10" s="39"/>
      <c r="P10" s="13"/>
      <c r="Q10" s="29"/>
      <c r="R10" s="13"/>
    </row>
    <row r="11" spans="1:19" x14ac:dyDescent="0.25">
      <c r="A11" s="1" t="s">
        <v>6</v>
      </c>
      <c r="B11" s="31">
        <f t="shared" si="1"/>
        <v>60950000</v>
      </c>
      <c r="C11" s="36">
        <v>810000</v>
      </c>
      <c r="D11" s="37">
        <v>720000</v>
      </c>
      <c r="E11" s="37">
        <v>27700000</v>
      </c>
      <c r="F11" s="37">
        <v>613000</v>
      </c>
      <c r="G11" s="37">
        <v>340000</v>
      </c>
      <c r="H11" s="37">
        <v>670000</v>
      </c>
      <c r="I11" s="37">
        <v>710000</v>
      </c>
      <c r="J11" s="37">
        <v>690000</v>
      </c>
      <c r="K11" s="37">
        <v>26237000</v>
      </c>
      <c r="L11" s="37">
        <v>540000</v>
      </c>
      <c r="M11" s="37">
        <v>670000</v>
      </c>
      <c r="N11" s="38">
        <v>1250000</v>
      </c>
      <c r="O11" s="39"/>
      <c r="P11" s="13"/>
      <c r="Q11" s="29"/>
      <c r="R11" s="13"/>
    </row>
    <row r="12" spans="1:19" x14ac:dyDescent="0.25">
      <c r="A12" s="1" t="s">
        <v>8</v>
      </c>
      <c r="B12" s="31">
        <f t="shared" si="1"/>
        <v>22169029</v>
      </c>
      <c r="C12" s="40">
        <v>1640000</v>
      </c>
      <c r="D12" s="37">
        <v>2648000</v>
      </c>
      <c r="E12" s="37">
        <f>2649000+32481</f>
        <v>2681481</v>
      </c>
      <c r="F12" s="37">
        <v>1638000</v>
      </c>
      <c r="G12" s="37">
        <f>1656000+1681049</f>
        <v>3337049</v>
      </c>
      <c r="H12" s="37">
        <v>1349000</v>
      </c>
      <c r="I12" s="37">
        <v>1149000</v>
      </c>
      <c r="J12" s="37">
        <f>1365000+91840</f>
        <v>1456840</v>
      </c>
      <c r="K12" s="37">
        <v>1629000</v>
      </c>
      <c r="L12" s="37">
        <f>1150000+150000</f>
        <v>1300000</v>
      </c>
      <c r="M12" s="37">
        <v>1693580</v>
      </c>
      <c r="N12" s="38">
        <f>1223000+136508+287571</f>
        <v>1647079</v>
      </c>
      <c r="O12" s="39"/>
      <c r="P12" s="13"/>
      <c r="Q12" s="29"/>
      <c r="R12" s="13"/>
    </row>
    <row r="13" spans="1:19" x14ac:dyDescent="0.25">
      <c r="A13" s="1" t="s">
        <v>9</v>
      </c>
      <c r="B13" s="31">
        <f t="shared" si="1"/>
        <v>0</v>
      </c>
      <c r="C13" s="40"/>
      <c r="D13" s="37"/>
      <c r="E13" s="37"/>
      <c r="F13" s="41"/>
      <c r="G13" s="37"/>
      <c r="H13" s="37"/>
      <c r="I13" s="37"/>
      <c r="J13" s="37"/>
      <c r="K13" s="37"/>
      <c r="L13" s="37"/>
      <c r="M13" s="37"/>
      <c r="N13" s="42"/>
      <c r="P13" s="13"/>
      <c r="Q13" s="29"/>
      <c r="R13" s="13"/>
    </row>
    <row r="14" spans="1:19" x14ac:dyDescent="0.25">
      <c r="A14" s="1" t="s">
        <v>11</v>
      </c>
      <c r="B14" s="31">
        <f t="shared" si="1"/>
        <v>4275900</v>
      </c>
      <c r="C14" s="40"/>
      <c r="D14" s="37">
        <v>3399400</v>
      </c>
      <c r="E14" s="37"/>
      <c r="F14" s="41"/>
      <c r="G14" s="37">
        <v>23420</v>
      </c>
      <c r="H14" s="37"/>
      <c r="I14" s="37">
        <v>690080</v>
      </c>
      <c r="J14" s="37">
        <v>130000</v>
      </c>
      <c r="K14" s="37"/>
      <c r="L14" s="37">
        <v>33000</v>
      </c>
      <c r="M14" s="37"/>
      <c r="N14" s="38"/>
      <c r="P14" s="13"/>
      <c r="Q14" s="29"/>
      <c r="R14" s="13"/>
    </row>
    <row r="15" spans="1:19" x14ac:dyDescent="0.25">
      <c r="A15" s="30" t="s">
        <v>14</v>
      </c>
      <c r="B15" s="31">
        <f t="shared" si="1"/>
        <v>1593844</v>
      </c>
      <c r="C15" s="40"/>
      <c r="D15" s="37"/>
      <c r="E15" s="37"/>
      <c r="F15" s="41"/>
      <c r="G15" s="37"/>
      <c r="H15" s="37"/>
      <c r="I15" s="37"/>
      <c r="J15" s="37"/>
      <c r="K15" s="37"/>
      <c r="L15" s="37"/>
      <c r="M15" s="37"/>
      <c r="N15" s="38">
        <v>1593844</v>
      </c>
      <c r="O15" s="7"/>
      <c r="P15" s="13"/>
      <c r="Q15" s="29"/>
      <c r="R15" s="13"/>
      <c r="S15" s="43"/>
    </row>
    <row r="16" spans="1:19" x14ac:dyDescent="0.25">
      <c r="A16" s="35" t="s">
        <v>16</v>
      </c>
      <c r="B16" s="31">
        <f t="shared" si="1"/>
        <v>45573567</v>
      </c>
      <c r="C16" s="40"/>
      <c r="D16" s="37"/>
      <c r="E16" s="37"/>
      <c r="F16" s="41"/>
      <c r="G16" s="37"/>
      <c r="H16" s="37"/>
      <c r="I16" s="37"/>
      <c r="J16" s="37"/>
      <c r="K16" s="37"/>
      <c r="L16" s="37"/>
      <c r="M16" s="37">
        <f>37506035-625185</f>
        <v>36880850</v>
      </c>
      <c r="N16" s="38">
        <v>8692717</v>
      </c>
      <c r="O16" s="7"/>
      <c r="P16" s="13"/>
      <c r="Q16" s="29"/>
      <c r="R16" s="13"/>
    </row>
    <row r="17" spans="1:27" x14ac:dyDescent="0.25">
      <c r="A17" s="30" t="s">
        <v>18</v>
      </c>
      <c r="B17" s="31">
        <f t="shared" si="1"/>
        <v>124800</v>
      </c>
      <c r="C17" s="44">
        <v>20800</v>
      </c>
      <c r="D17" s="33">
        <v>20800</v>
      </c>
      <c r="E17" s="33">
        <v>20800</v>
      </c>
      <c r="F17" s="33">
        <v>20800</v>
      </c>
      <c r="G17" s="33">
        <v>20800</v>
      </c>
      <c r="H17" s="33">
        <v>20800</v>
      </c>
      <c r="I17" s="33"/>
      <c r="J17" s="33"/>
      <c r="K17" s="33"/>
      <c r="L17" s="37"/>
      <c r="M17" s="37"/>
      <c r="N17" s="38"/>
      <c r="O17" s="7"/>
      <c r="P17" s="13"/>
      <c r="Q17" s="29"/>
      <c r="R17" s="13"/>
    </row>
    <row r="18" spans="1:27" x14ac:dyDescent="0.25">
      <c r="A18" s="1" t="s">
        <v>20</v>
      </c>
      <c r="B18" s="31">
        <f t="shared" si="1"/>
        <v>0</v>
      </c>
      <c r="C18" s="40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8"/>
      <c r="O18" s="7"/>
      <c r="P18" s="13"/>
      <c r="Q18" s="29"/>
      <c r="R18" s="13"/>
    </row>
    <row r="19" spans="1:27" x14ac:dyDescent="0.25">
      <c r="A19" s="1" t="s">
        <v>22</v>
      </c>
      <c r="B19" s="31">
        <f t="shared" si="1"/>
        <v>7181580</v>
      </c>
      <c r="C19" s="40"/>
      <c r="D19" s="37"/>
      <c r="E19" s="37"/>
      <c r="F19" s="37"/>
      <c r="G19" s="37">
        <v>151580</v>
      </c>
      <c r="H19" s="37">
        <v>381000</v>
      </c>
      <c r="I19" s="37"/>
      <c r="J19" s="37">
        <f>2458000+285750</f>
        <v>2743750</v>
      </c>
      <c r="K19" s="37">
        <f>3683000+222250</f>
        <v>3905250</v>
      </c>
      <c r="L19" s="37"/>
      <c r="M19" s="37"/>
      <c r="N19" s="38"/>
      <c r="O19" s="7"/>
      <c r="P19" s="13"/>
      <c r="Q19" s="29"/>
      <c r="R19" s="13"/>
    </row>
    <row r="20" spans="1:27" x14ac:dyDescent="0.25">
      <c r="A20" s="3" t="s">
        <v>24</v>
      </c>
      <c r="B20" s="31">
        <f t="shared" si="1"/>
        <v>244784596</v>
      </c>
      <c r="C20" s="40"/>
      <c r="D20" s="37"/>
      <c r="E20" s="37"/>
      <c r="F20" s="37"/>
      <c r="G20" s="45"/>
      <c r="H20" s="37">
        <f>206225623+38558973</f>
        <v>244784596</v>
      </c>
      <c r="I20" s="37"/>
      <c r="J20" s="37"/>
      <c r="K20" s="37"/>
      <c r="L20" s="37"/>
      <c r="M20" s="37"/>
      <c r="N20" s="38"/>
      <c r="O20" s="7"/>
      <c r="P20" s="13"/>
      <c r="Q20" s="29"/>
      <c r="R20" s="13"/>
    </row>
    <row r="21" spans="1:27" x14ac:dyDescent="0.25">
      <c r="A21" s="4" t="s">
        <v>26</v>
      </c>
      <c r="B21" s="31">
        <f t="shared" si="1"/>
        <v>15283667</v>
      </c>
      <c r="C21" s="40"/>
      <c r="D21" s="37"/>
      <c r="E21" s="37"/>
      <c r="F21" s="37"/>
      <c r="G21" s="45"/>
      <c r="H21" s="37">
        <f>11972500+3311167</f>
        <v>15283667</v>
      </c>
      <c r="I21" s="37"/>
      <c r="J21" s="37"/>
      <c r="K21" s="37"/>
      <c r="L21" s="37"/>
      <c r="M21" s="37"/>
      <c r="N21" s="38"/>
      <c r="O21" s="7"/>
      <c r="P21" s="13"/>
      <c r="Q21" s="29"/>
      <c r="R21" s="13"/>
    </row>
    <row r="22" spans="1:27" x14ac:dyDescent="0.25">
      <c r="A22" s="46" t="s">
        <v>52</v>
      </c>
      <c r="B22" s="31">
        <f t="shared" si="1"/>
        <v>3421265</v>
      </c>
      <c r="C22" s="47"/>
      <c r="D22" s="48"/>
      <c r="E22" s="48"/>
      <c r="F22" s="48"/>
      <c r="G22" s="49"/>
      <c r="H22" s="37">
        <v>3421265</v>
      </c>
      <c r="I22" s="48"/>
      <c r="J22" s="48"/>
      <c r="K22" s="48"/>
      <c r="L22" s="48"/>
      <c r="M22" s="48"/>
      <c r="N22" s="50"/>
      <c r="O22" s="7"/>
      <c r="P22" s="13"/>
      <c r="Q22" s="29"/>
      <c r="R22" s="13"/>
    </row>
    <row r="23" spans="1:27" x14ac:dyDescent="0.25">
      <c r="A23" s="51" t="s">
        <v>28</v>
      </c>
      <c r="B23" s="31">
        <f t="shared" si="1"/>
        <v>218318000</v>
      </c>
      <c r="C23" s="47"/>
      <c r="D23" s="48"/>
      <c r="E23" s="48"/>
      <c r="F23" s="48"/>
      <c r="G23" s="48">
        <v>218318000</v>
      </c>
      <c r="H23" s="48"/>
      <c r="I23" s="48"/>
      <c r="J23" s="48"/>
      <c r="K23" s="48"/>
      <c r="L23" s="48"/>
      <c r="M23" s="48"/>
      <c r="N23" s="50"/>
      <c r="O23" s="7"/>
      <c r="P23" s="13"/>
      <c r="Q23" s="29"/>
      <c r="R23" s="13"/>
    </row>
    <row r="24" spans="1:27" ht="15.75" thickBot="1" x14ac:dyDescent="0.3">
      <c r="A24" s="52" t="s">
        <v>32</v>
      </c>
      <c r="B24" s="31">
        <f t="shared" si="1"/>
        <v>5004736</v>
      </c>
      <c r="C24" s="53"/>
      <c r="D24" s="54">
        <v>37203</v>
      </c>
      <c r="E24" s="54">
        <v>36282</v>
      </c>
      <c r="F24" s="54">
        <v>72782</v>
      </c>
      <c r="G24" s="54">
        <v>119981</v>
      </c>
      <c r="H24" s="55">
        <v>119981</v>
      </c>
      <c r="I24" s="55">
        <v>119981</v>
      </c>
      <c r="J24" s="55">
        <v>119981</v>
      </c>
      <c r="K24" s="55">
        <v>157974</v>
      </c>
      <c r="L24" s="54">
        <v>156263</v>
      </c>
      <c r="M24" s="54">
        <v>119981</v>
      </c>
      <c r="N24" s="56">
        <v>3944327</v>
      </c>
      <c r="O24" s="7"/>
      <c r="P24" s="13"/>
      <c r="Q24" s="29"/>
      <c r="R24" s="13"/>
    </row>
    <row r="25" spans="1:27" ht="15.75" thickBot="1" x14ac:dyDescent="0.3">
      <c r="A25" s="57" t="s">
        <v>53</v>
      </c>
      <c r="B25" s="58">
        <f>SUM(B8:B24)</f>
        <v>768004174</v>
      </c>
      <c r="C25" s="59">
        <f>SUM(C8:C24)</f>
        <v>12273412</v>
      </c>
      <c r="D25" s="60">
        <f t="shared" ref="D25:N25" si="2">SUM(D8:D24)</f>
        <v>15970583</v>
      </c>
      <c r="E25" s="60">
        <f t="shared" si="2"/>
        <v>38249559</v>
      </c>
      <c r="F25" s="60">
        <f t="shared" si="2"/>
        <v>12783678</v>
      </c>
      <c r="G25" s="60">
        <f t="shared" si="2"/>
        <v>231506805</v>
      </c>
      <c r="H25" s="60">
        <f t="shared" si="2"/>
        <v>275936412</v>
      </c>
      <c r="I25" s="60">
        <f>SUM(I8:I24)</f>
        <v>12343557</v>
      </c>
      <c r="J25" s="60">
        <f t="shared" si="2"/>
        <v>26295302</v>
      </c>
      <c r="K25" s="60">
        <f t="shared" si="2"/>
        <v>41379561</v>
      </c>
      <c r="L25" s="60">
        <f t="shared" si="2"/>
        <v>12649473</v>
      </c>
      <c r="M25" s="60">
        <f t="shared" si="2"/>
        <v>48734456</v>
      </c>
      <c r="N25" s="60">
        <f t="shared" si="2"/>
        <v>39881376</v>
      </c>
      <c r="O25" s="7"/>
      <c r="R25" s="13"/>
    </row>
    <row r="26" spans="1:27" ht="21.75" customHeight="1" thickBot="1" x14ac:dyDescent="0.3">
      <c r="A26" s="61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7"/>
      <c r="R26" s="13"/>
    </row>
    <row r="27" spans="1:27" ht="17.25" customHeight="1" thickBot="1" x14ac:dyDescent="0.3">
      <c r="A27" s="17" t="s">
        <v>54</v>
      </c>
      <c r="B27" s="63" t="s">
        <v>38</v>
      </c>
      <c r="C27" s="18" t="s">
        <v>39</v>
      </c>
      <c r="D27" s="18" t="s">
        <v>40</v>
      </c>
      <c r="E27" s="18" t="s">
        <v>41</v>
      </c>
      <c r="F27" s="18" t="s">
        <v>42</v>
      </c>
      <c r="G27" s="18" t="s">
        <v>43</v>
      </c>
      <c r="H27" s="18" t="s">
        <v>44</v>
      </c>
      <c r="I27" s="18" t="s">
        <v>45</v>
      </c>
      <c r="J27" s="18" t="s">
        <v>46</v>
      </c>
      <c r="K27" s="18" t="s">
        <v>47</v>
      </c>
      <c r="L27" s="18" t="s">
        <v>48</v>
      </c>
      <c r="M27" s="18" t="s">
        <v>49</v>
      </c>
      <c r="N27" s="18" t="s">
        <v>50</v>
      </c>
      <c r="O27" s="7"/>
      <c r="R27" s="13"/>
    </row>
    <row r="28" spans="1:27" x14ac:dyDescent="0.25">
      <c r="A28" s="64" t="s">
        <v>1</v>
      </c>
      <c r="B28" s="65">
        <f>SUM(C28:N28)</f>
        <v>65473766</v>
      </c>
      <c r="C28" s="66">
        <f>4602050+25340+43713</f>
        <v>4671103</v>
      </c>
      <c r="D28" s="66">
        <f>4202000+16291</f>
        <v>4218291</v>
      </c>
      <c r="E28" s="66">
        <f>4102080+55291</f>
        <v>4157371</v>
      </c>
      <c r="F28" s="66">
        <f>4902060+16291</f>
        <v>4918351</v>
      </c>
      <c r="G28" s="66">
        <f>5250020+83960</f>
        <v>5333980</v>
      </c>
      <c r="H28" s="66">
        <f>5128000+59041+9150+25441</f>
        <v>5221632</v>
      </c>
      <c r="I28" s="66">
        <f>5002000+42750+25441+95625</f>
        <v>5165816</v>
      </c>
      <c r="J28" s="66">
        <f>5000150+42750+25441+27423+500000-155203-112848-191481+52679</f>
        <v>5188911</v>
      </c>
      <c r="K28" s="66">
        <f>5102080+42750+150282+134329</f>
        <v>5429441</v>
      </c>
      <c r="L28" s="66">
        <f>4843997+134329+338887</f>
        <v>5317213</v>
      </c>
      <c r="M28" s="66">
        <f>4802150+42750+134329+338887+5425194</f>
        <v>10743310</v>
      </c>
      <c r="N28" s="66">
        <f>4730380+42750+134329+338888-138000</f>
        <v>5108347</v>
      </c>
      <c r="O28" s="2"/>
      <c r="P28" s="13"/>
      <c r="Q28" s="67"/>
      <c r="R28" s="13"/>
      <c r="S28" s="13"/>
      <c r="T28" s="7"/>
      <c r="U28" s="7"/>
      <c r="V28" s="7"/>
      <c r="W28" s="7"/>
      <c r="X28" s="7"/>
      <c r="Y28" s="7"/>
      <c r="Z28" s="7"/>
      <c r="AA28" s="7"/>
    </row>
    <row r="29" spans="1:27" x14ac:dyDescent="0.25">
      <c r="A29" s="68" t="s">
        <v>3</v>
      </c>
      <c r="B29" s="69">
        <f t="shared" ref="B29:B45" si="3">SUM(C29:N29)</f>
        <v>14251502</v>
      </c>
      <c r="C29" s="40">
        <f>816900+144674+2277+4099</f>
        <v>967950</v>
      </c>
      <c r="D29" s="40">
        <f>966350+3584</f>
        <v>969934</v>
      </c>
      <c r="E29" s="40">
        <f>986000+11306</f>
        <v>997306</v>
      </c>
      <c r="F29" s="40">
        <f>1200940+3584</f>
        <v>1204524</v>
      </c>
      <c r="G29" s="40">
        <f>1286900+18471</f>
        <v>1305371</v>
      </c>
      <c r="H29" s="40">
        <f>1243060+12989+2013+5900</f>
        <v>1263962</v>
      </c>
      <c r="I29" s="40">
        <f>1206950+9405+10519+5900</f>
        <v>1232774</v>
      </c>
      <c r="J29" s="40">
        <f>1200940+9405-83677+33062+269876-114408+5000-9+23001+10519</f>
        <v>1353709</v>
      </c>
      <c r="K29" s="40">
        <f>1210000+9405+45967</f>
        <v>1265372</v>
      </c>
      <c r="L29" s="40">
        <f>976337+45967+52523</f>
        <v>1074827</v>
      </c>
      <c r="M29" s="40">
        <f>967420+9405+45967+52523+681682</f>
        <v>1756997</v>
      </c>
      <c r="N29" s="40">
        <f>750880+9405+45969+52522</f>
        <v>858776</v>
      </c>
      <c r="O29" s="2"/>
      <c r="P29" s="13"/>
      <c r="Q29" s="67"/>
      <c r="R29" s="13"/>
      <c r="S29" s="10"/>
    </row>
    <row r="30" spans="1:27" s="6" customFormat="1" x14ac:dyDescent="0.25">
      <c r="A30" s="70" t="s">
        <v>5</v>
      </c>
      <c r="B30" s="69">
        <f t="shared" si="3"/>
        <v>110285623</v>
      </c>
      <c r="C30" s="40">
        <f>6900000+1090917+473508+594360</f>
        <v>9058785</v>
      </c>
      <c r="D30" s="40">
        <v>6736000</v>
      </c>
      <c r="E30" s="40">
        <f>5363000+381000</f>
        <v>5744000</v>
      </c>
      <c r="F30" s="40">
        <f>6245000+7064</f>
        <v>6252064</v>
      </c>
      <c r="G30" s="40">
        <f>8926000+370186+1681049</f>
        <v>10977235</v>
      </c>
      <c r="H30" s="40">
        <f>9214000+287516+1000000</f>
        <v>10501516</v>
      </c>
      <c r="I30" s="40">
        <f>9643000+573266-48323</f>
        <v>10167943</v>
      </c>
      <c r="J30" s="40">
        <f>7922863+1766+130000+736000+269611+90707-635000+83820-52679-23001</f>
        <v>8524087</v>
      </c>
      <c r="K30" s="40">
        <f>7402900+4065266-1016000+32481+45920+1185012+320000+86400</f>
        <v>12121979</v>
      </c>
      <c r="L30" s="40">
        <f>7280400+256800</f>
        <v>7537200</v>
      </c>
      <c r="M30" s="40">
        <f>6363350+1766+256800</f>
        <v>6621916</v>
      </c>
      <c r="N30" s="40">
        <f>6363500+632516+256826-138000-237492-323037+9488585</f>
        <v>16042898</v>
      </c>
      <c r="O30" s="2"/>
      <c r="P30" s="13"/>
      <c r="Q30" s="67"/>
      <c r="R30" s="43"/>
      <c r="S30" s="71"/>
    </row>
    <row r="31" spans="1:27" x14ac:dyDescent="0.25">
      <c r="A31" s="70" t="s">
        <v>7</v>
      </c>
      <c r="B31" s="69">
        <f t="shared" si="3"/>
        <v>2495595</v>
      </c>
      <c r="C31" s="40">
        <f>170000+19000-100000</f>
        <v>89000</v>
      </c>
      <c r="D31" s="40">
        <f>171000-100000</f>
        <v>71000</v>
      </c>
      <c r="E31" s="40">
        <f>192000-100000</f>
        <v>92000</v>
      </c>
      <c r="F31" s="40">
        <f>274000-100000</f>
        <v>174000</v>
      </c>
      <c r="G31" s="40">
        <f>293000-100000</f>
        <v>193000</v>
      </c>
      <c r="H31" s="40">
        <f>298000-94360</f>
        <v>203640</v>
      </c>
      <c r="I31" s="40">
        <v>348000</v>
      </c>
      <c r="J31" s="40">
        <f>336000-83820</f>
        <v>252180</v>
      </c>
      <c r="K31" s="40">
        <v>379000</v>
      </c>
      <c r="L31" s="40">
        <f>359000-80010</f>
        <v>278990</v>
      </c>
      <c r="M31" s="40">
        <f>369000-55900</f>
        <v>313100</v>
      </c>
      <c r="N31" s="40">
        <f>461000-288538-70777</f>
        <v>101685</v>
      </c>
      <c r="O31" s="72"/>
      <c r="P31" s="13"/>
      <c r="Q31" s="67"/>
      <c r="R31" s="13"/>
      <c r="S31" s="10"/>
    </row>
    <row r="32" spans="1:27" x14ac:dyDescent="0.25">
      <c r="A32" s="70" t="s">
        <v>10</v>
      </c>
      <c r="B32" s="69">
        <f t="shared" si="3"/>
        <v>15613361</v>
      </c>
      <c r="C32" s="40"/>
      <c r="D32" s="40"/>
      <c r="E32" s="40">
        <v>4449601</v>
      </c>
      <c r="F32" s="40">
        <v>1245000</v>
      </c>
      <c r="G32" s="40">
        <v>1240000</v>
      </c>
      <c r="H32" s="40">
        <v>1125003</v>
      </c>
      <c r="I32" s="40">
        <v>1160000</v>
      </c>
      <c r="J32" s="40">
        <f>1104000+114000</f>
        <v>1218000</v>
      </c>
      <c r="K32" s="40">
        <f>1264800+785031</f>
        <v>2049831</v>
      </c>
      <c r="L32" s="40">
        <f>1260000-228025</f>
        <v>1031975</v>
      </c>
      <c r="M32" s="40">
        <f>1270000-228025</f>
        <v>1041975</v>
      </c>
      <c r="N32" s="40">
        <f>1280000-228024</f>
        <v>1051976</v>
      </c>
      <c r="O32" s="2"/>
      <c r="P32" s="13"/>
      <c r="Q32" s="67"/>
      <c r="R32" s="13"/>
      <c r="S32" s="10"/>
    </row>
    <row r="33" spans="1:21" x14ac:dyDescent="0.25">
      <c r="A33" s="73" t="s">
        <v>12</v>
      </c>
      <c r="B33" s="69">
        <f t="shared" si="3"/>
        <v>0</v>
      </c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74"/>
      <c r="P33" s="13"/>
      <c r="Q33" s="67"/>
      <c r="R33" s="13"/>
      <c r="S33" s="10"/>
    </row>
    <row r="34" spans="1:21" x14ac:dyDescent="0.25">
      <c r="A34" s="70" t="s">
        <v>13</v>
      </c>
      <c r="B34" s="69">
        <f t="shared" si="3"/>
        <v>16525400</v>
      </c>
      <c r="C34" s="40"/>
      <c r="D34" s="40"/>
      <c r="E34" s="40">
        <f>3500000-690000</f>
        <v>2810000</v>
      </c>
      <c r="F34" s="40">
        <v>500000</v>
      </c>
      <c r="G34" s="40">
        <v>100000</v>
      </c>
      <c r="H34" s="40">
        <v>149500</v>
      </c>
      <c r="I34" s="40"/>
      <c r="J34" s="40">
        <v>12665900</v>
      </c>
      <c r="K34" s="40"/>
      <c r="L34" s="40">
        <v>300000</v>
      </c>
      <c r="M34" s="40"/>
      <c r="N34" s="40"/>
      <c r="O34" s="74"/>
      <c r="P34" s="13"/>
      <c r="Q34" s="67"/>
      <c r="R34" s="13"/>
      <c r="S34" s="10"/>
      <c r="U34" s="13"/>
    </row>
    <row r="35" spans="1:21" x14ac:dyDescent="0.25">
      <c r="A35" s="70" t="s">
        <v>29</v>
      </c>
      <c r="B35" s="69">
        <f t="shared" si="3"/>
        <v>3432048</v>
      </c>
      <c r="C35" s="40"/>
      <c r="D35" s="40">
        <v>3399400</v>
      </c>
      <c r="E35" s="40"/>
      <c r="F35" s="40"/>
      <c r="G35" s="40"/>
      <c r="H35" s="40"/>
      <c r="I35" s="40"/>
      <c r="J35" s="40"/>
      <c r="K35" s="40"/>
      <c r="L35" s="40">
        <v>32648</v>
      </c>
      <c r="M35" s="40"/>
      <c r="N35" s="40"/>
      <c r="O35" s="74"/>
      <c r="P35" s="13"/>
      <c r="Q35" s="67"/>
      <c r="R35" s="13"/>
      <c r="S35" s="10"/>
      <c r="U35" s="13"/>
    </row>
    <row r="36" spans="1:21" x14ac:dyDescent="0.25">
      <c r="A36" s="75" t="s">
        <v>55</v>
      </c>
      <c r="B36" s="69">
        <f t="shared" si="3"/>
        <v>3337672</v>
      </c>
      <c r="C36" s="40"/>
      <c r="D36" s="40"/>
      <c r="E36" s="40">
        <v>300000</v>
      </c>
      <c r="F36" s="40">
        <v>250000</v>
      </c>
      <c r="G36" s="40">
        <v>205000</v>
      </c>
      <c r="H36" s="40">
        <v>150000</v>
      </c>
      <c r="I36" s="40">
        <v>135000</v>
      </c>
      <c r="J36" s="40">
        <f>400000-10519</f>
        <v>389481</v>
      </c>
      <c r="K36" s="40">
        <v>300000</v>
      </c>
      <c r="L36" s="40">
        <f>350000+100000</f>
        <v>450000</v>
      </c>
      <c r="M36" s="40">
        <f>350000+100000</f>
        <v>450000</v>
      </c>
      <c r="N36" s="40">
        <f>351134+76753+280304</f>
        <v>708191</v>
      </c>
      <c r="O36" s="72"/>
      <c r="P36" s="13"/>
      <c r="Q36" s="67"/>
      <c r="R36" s="13"/>
      <c r="S36" s="10"/>
      <c r="U36" s="13"/>
    </row>
    <row r="37" spans="1:21" x14ac:dyDescent="0.25">
      <c r="A37" s="70" t="s">
        <v>15</v>
      </c>
      <c r="B37" s="69">
        <f t="shared" si="3"/>
        <v>123137842</v>
      </c>
      <c r="C37" s="40"/>
      <c r="D37" s="40"/>
      <c r="E37" s="40">
        <f>278000+30153878-14182163-381000</f>
        <v>15868715</v>
      </c>
      <c r="F37" s="40">
        <v>369000</v>
      </c>
      <c r="G37" s="40">
        <f>2241351+151580</f>
        <v>2392931</v>
      </c>
      <c r="H37" s="40">
        <f>14813000+381000</f>
        <v>15194000</v>
      </c>
      <c r="I37" s="40">
        <v>9871000</v>
      </c>
      <c r="J37" s="40">
        <v>21585000</v>
      </c>
      <c r="K37" s="40">
        <f>18741000+6000000+1016000-5211913+685800-406400+662123+178773</f>
        <v>21665383</v>
      </c>
      <c r="L37" s="40">
        <v>20227000</v>
      </c>
      <c r="M37" s="40">
        <v>4402000</v>
      </c>
      <c r="N37" s="40">
        <f>1650000+5648477+938538+55900+799088+215756+2255054</f>
        <v>11562813</v>
      </c>
      <c r="O37" s="2"/>
      <c r="P37" s="13"/>
      <c r="Q37" s="67"/>
      <c r="R37" s="13"/>
      <c r="S37" s="10"/>
      <c r="U37" s="13"/>
    </row>
    <row r="38" spans="1:21" x14ac:dyDescent="0.25">
      <c r="A38" s="76" t="s">
        <v>17</v>
      </c>
      <c r="B38" s="69">
        <f t="shared" si="3"/>
        <v>185412364</v>
      </c>
      <c r="C38" s="40"/>
      <c r="D38" s="40"/>
      <c r="E38" s="40">
        <f>1725000+8405095</f>
        <v>10130095</v>
      </c>
      <c r="F38" s="40">
        <v>2860000</v>
      </c>
      <c r="G38" s="40">
        <f>6872000+3737663</f>
        <v>10609663</v>
      </c>
      <c r="H38" s="40">
        <f>23854000-1000000</f>
        <v>22854000</v>
      </c>
      <c r="I38" s="40">
        <v>1654000</v>
      </c>
      <c r="J38" s="40">
        <v>37219000</v>
      </c>
      <c r="K38" s="40">
        <f>21657040-1185012-685800-662123-178773</f>
        <v>18945332</v>
      </c>
      <c r="L38" s="40">
        <v>21123000</v>
      </c>
      <c r="M38" s="40">
        <f>12628000+37506035-6149264</f>
        <v>43984771</v>
      </c>
      <c r="N38" s="40">
        <f>1968000+6724803+254360+68677+455905+123095+6437663</f>
        <v>16032503</v>
      </c>
      <c r="O38" s="2"/>
      <c r="P38" s="13"/>
      <c r="Q38" s="67"/>
      <c r="R38" s="13"/>
      <c r="S38" s="10"/>
      <c r="U38" s="13"/>
    </row>
    <row r="39" spans="1:21" x14ac:dyDescent="0.25">
      <c r="A39" s="70" t="s">
        <v>19</v>
      </c>
      <c r="B39" s="69">
        <f t="shared" si="3"/>
        <v>0</v>
      </c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72"/>
      <c r="P39" s="13"/>
      <c r="Q39" s="29"/>
      <c r="R39" s="13"/>
      <c r="S39" s="10"/>
      <c r="U39" s="13"/>
    </row>
    <row r="40" spans="1:21" x14ac:dyDescent="0.25">
      <c r="A40" s="70" t="s">
        <v>21</v>
      </c>
      <c r="B40" s="69">
        <f t="shared" si="3"/>
        <v>0</v>
      </c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"/>
      <c r="P40" s="13"/>
      <c r="Q40" s="29"/>
      <c r="R40" s="13"/>
      <c r="S40" s="10"/>
      <c r="U40" s="13"/>
    </row>
    <row r="41" spans="1:21" x14ac:dyDescent="0.25">
      <c r="A41" s="70" t="s">
        <v>23</v>
      </c>
      <c r="B41" s="69">
        <f t="shared" si="3"/>
        <v>1295000</v>
      </c>
      <c r="C41" s="40"/>
      <c r="D41" s="40"/>
      <c r="E41" s="40"/>
      <c r="F41" s="40"/>
      <c r="G41" s="40">
        <v>452640</v>
      </c>
      <c r="H41" s="40"/>
      <c r="I41" s="40"/>
      <c r="J41" s="40">
        <v>217360</v>
      </c>
      <c r="K41" s="40"/>
      <c r="L41" s="40"/>
      <c r="M41" s="40">
        <v>500000</v>
      </c>
      <c r="N41" s="40">
        <v>125000</v>
      </c>
      <c r="O41" s="2"/>
      <c r="P41" s="13"/>
      <c r="Q41" s="29"/>
      <c r="R41" s="13"/>
      <c r="S41" s="10"/>
      <c r="U41" s="13"/>
    </row>
    <row r="42" spans="1:21" x14ac:dyDescent="0.25">
      <c r="A42" s="75" t="s">
        <v>56</v>
      </c>
      <c r="B42" s="69">
        <f t="shared" si="3"/>
        <v>0</v>
      </c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77"/>
      <c r="O42" s="13"/>
      <c r="P42" s="13"/>
      <c r="Q42" s="29"/>
      <c r="R42" s="13"/>
      <c r="S42" s="10"/>
      <c r="U42" s="13"/>
    </row>
    <row r="43" spans="1:21" x14ac:dyDescent="0.25">
      <c r="A43" s="70" t="s">
        <v>25</v>
      </c>
      <c r="B43" s="69">
        <f t="shared" si="3"/>
        <v>0</v>
      </c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77"/>
      <c r="O43" s="7"/>
      <c r="P43" s="13"/>
      <c r="Q43" s="29"/>
      <c r="R43" s="13"/>
      <c r="S43" s="10"/>
      <c r="U43" s="13"/>
    </row>
    <row r="44" spans="1:21" x14ac:dyDescent="0.25">
      <c r="A44" s="51" t="s">
        <v>27</v>
      </c>
      <c r="B44" s="69">
        <f t="shared" si="3"/>
        <v>218318000</v>
      </c>
      <c r="C44" s="40"/>
      <c r="D44" s="40"/>
      <c r="E44" s="40"/>
      <c r="F44" s="40"/>
      <c r="G44" s="40">
        <v>218318000</v>
      </c>
      <c r="H44" s="40"/>
      <c r="I44" s="40"/>
      <c r="J44" s="40"/>
      <c r="K44" s="40"/>
      <c r="L44" s="40"/>
      <c r="M44" s="40"/>
      <c r="N44" s="77"/>
      <c r="O44" s="7"/>
      <c r="P44" s="13"/>
      <c r="Q44" s="29"/>
      <c r="R44" s="13"/>
      <c r="S44" s="10"/>
      <c r="U44" s="13"/>
    </row>
    <row r="45" spans="1:21" ht="15.75" thickBot="1" x14ac:dyDescent="0.3">
      <c r="A45" s="51" t="s">
        <v>31</v>
      </c>
      <c r="B45" s="69">
        <f t="shared" si="3"/>
        <v>8426001</v>
      </c>
      <c r="C45" s="40">
        <v>3421265</v>
      </c>
      <c r="D45" s="40">
        <v>37203</v>
      </c>
      <c r="E45" s="40">
        <v>36282</v>
      </c>
      <c r="F45" s="40">
        <v>72782</v>
      </c>
      <c r="G45" s="40">
        <v>119981</v>
      </c>
      <c r="H45" s="40">
        <v>119981</v>
      </c>
      <c r="I45" s="40">
        <v>119981</v>
      </c>
      <c r="J45" s="40">
        <v>119981</v>
      </c>
      <c r="K45" s="40">
        <v>157974</v>
      </c>
      <c r="L45" s="40">
        <v>156263</v>
      </c>
      <c r="M45" s="40">
        <v>119981</v>
      </c>
      <c r="N45" s="77">
        <v>3944327</v>
      </c>
      <c r="O45" s="7"/>
      <c r="P45" s="13"/>
      <c r="Q45" s="29"/>
      <c r="R45" s="13"/>
      <c r="S45" s="10"/>
      <c r="U45" s="13"/>
    </row>
    <row r="46" spans="1:21" ht="15.75" thickBot="1" x14ac:dyDescent="0.3">
      <c r="A46" s="78" t="s">
        <v>53</v>
      </c>
      <c r="B46" s="79">
        <f>SUM(B28:B45)</f>
        <v>768004174</v>
      </c>
      <c r="C46" s="80">
        <f t="shared" ref="C46:N46" si="4">SUM(C28:C45)</f>
        <v>18208103</v>
      </c>
      <c r="D46" s="80">
        <f t="shared" si="4"/>
        <v>15431828</v>
      </c>
      <c r="E46" s="80">
        <f t="shared" si="4"/>
        <v>44585370</v>
      </c>
      <c r="F46" s="80">
        <f t="shared" si="4"/>
        <v>17845721</v>
      </c>
      <c r="G46" s="80">
        <f t="shared" si="4"/>
        <v>251247801</v>
      </c>
      <c r="H46" s="80">
        <f t="shared" si="4"/>
        <v>56783234</v>
      </c>
      <c r="I46" s="80">
        <f t="shared" si="4"/>
        <v>29854514</v>
      </c>
      <c r="J46" s="80">
        <f t="shared" si="4"/>
        <v>88733609</v>
      </c>
      <c r="K46" s="80">
        <f t="shared" si="4"/>
        <v>62314312</v>
      </c>
      <c r="L46" s="80">
        <f t="shared" si="4"/>
        <v>57529116</v>
      </c>
      <c r="M46" s="80">
        <f t="shared" si="4"/>
        <v>69934050</v>
      </c>
      <c r="N46" s="81">
        <f t="shared" si="4"/>
        <v>55536516</v>
      </c>
      <c r="P46" s="12"/>
      <c r="U46" s="13"/>
    </row>
    <row r="47" spans="1:21" ht="15.75" thickBot="1" x14ac:dyDescent="0.3">
      <c r="A47" s="78" t="s">
        <v>33</v>
      </c>
      <c r="B47" s="82"/>
      <c r="C47" s="82">
        <f>C7+C25-C46-C20-C21-C22</f>
        <v>264954574</v>
      </c>
      <c r="D47" s="82">
        <f t="shared" ref="D47:N47" si="5">D7+D25-D46</f>
        <v>265493329</v>
      </c>
      <c r="E47" s="82">
        <f t="shared" si="5"/>
        <v>259157518</v>
      </c>
      <c r="F47" s="82">
        <f t="shared" si="5"/>
        <v>254095475</v>
      </c>
      <c r="G47" s="82">
        <f t="shared" si="5"/>
        <v>234354479</v>
      </c>
      <c r="H47" s="82">
        <f t="shared" si="5"/>
        <v>453507657</v>
      </c>
      <c r="I47" s="82">
        <f t="shared" si="5"/>
        <v>435996700</v>
      </c>
      <c r="J47" s="82">
        <f t="shared" si="5"/>
        <v>373558393</v>
      </c>
      <c r="K47" s="82">
        <f t="shared" si="5"/>
        <v>352623642</v>
      </c>
      <c r="L47" s="82">
        <f t="shared" si="5"/>
        <v>307743999</v>
      </c>
      <c r="M47" s="82">
        <f t="shared" si="5"/>
        <v>286544405</v>
      </c>
      <c r="N47" s="82">
        <f t="shared" si="5"/>
        <v>270889265</v>
      </c>
    </row>
    <row r="48" spans="1:21" x14ac:dyDescent="0.25">
      <c r="A48" s="83"/>
    </row>
    <row r="49" spans="2:2" x14ac:dyDescent="0.25">
      <c r="B49" s="9"/>
    </row>
    <row r="50" spans="2:2" x14ac:dyDescent="0.25">
      <c r="B50" s="7"/>
    </row>
    <row r="191" spans="5:7" x14ac:dyDescent="0.25">
      <c r="F191" s="11">
        <v>266248</v>
      </c>
      <c r="G191">
        <f>SUM(E191:F191)</f>
        <v>266248</v>
      </c>
    </row>
    <row r="192" spans="5:7" x14ac:dyDescent="0.25">
      <c r="E192">
        <f>SUM(E191)</f>
        <v>0</v>
      </c>
      <c r="F192">
        <f t="shared" ref="F192:G192" si="6">SUM(F191)</f>
        <v>266248</v>
      </c>
      <c r="G192">
        <f t="shared" si="6"/>
        <v>266248</v>
      </c>
    </row>
  </sheetData>
  <mergeCells count="5">
    <mergeCell ref="A1:N1"/>
    <mergeCell ref="A2:N2"/>
    <mergeCell ref="A3:N3"/>
    <mergeCell ref="K4:N4"/>
    <mergeCell ref="A5:N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konyveles</cp:lastModifiedBy>
  <dcterms:created xsi:type="dcterms:W3CDTF">2018-02-27T12:45:21Z</dcterms:created>
  <dcterms:modified xsi:type="dcterms:W3CDTF">2018-02-27T13:20:59Z</dcterms:modified>
</cp:coreProperties>
</file>