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60" yWindow="885" windowWidth="19440" windowHeight="12930" tabRatio="823"/>
  </bookViews>
  <sheets>
    <sheet name="1.sz.tábla   (2)" sheetId="148" r:id="rId1"/>
    <sheet name="2.sz.tábla   (2)" sheetId="149" r:id="rId2"/>
    <sheet name="2.a tábla ÚJ " sheetId="150" r:id="rId3"/>
    <sheet name="2b. tábla 2020. (2)" sheetId="167" r:id="rId4"/>
    <sheet name="2c. tábla 2020. (2)" sheetId="166" r:id="rId5"/>
    <sheet name="3.sz. tábla  (2)" sheetId="153" r:id="rId6"/>
    <sheet name="4.sz.tábla " sheetId="154" r:id="rId7"/>
    <sheet name="4a. sz. tábla (3)" sheetId="134" r:id="rId8"/>
    <sheet name="5.tábla (2)" sheetId="155" r:id="rId9"/>
    <sheet name="5b. sz. tábla  (2)" sheetId="156" r:id="rId10"/>
    <sheet name="6.sz.tábla  (3)" sheetId="183" r:id="rId11"/>
    <sheet name="7. sz. tábla 1" sheetId="157" r:id="rId12"/>
    <sheet name="8. sz. tábla  (3)" sheetId="158" r:id="rId13"/>
    <sheet name="8a. sz. tábla  (4)" sheetId="169" r:id="rId14"/>
    <sheet name="9. sz. tábla (2)" sheetId="170" r:id="rId15"/>
    <sheet name="10 tábla  " sheetId="191" r:id="rId16"/>
    <sheet name="11. sz. tábla (3)" sheetId="190" r:id="rId17"/>
    <sheet name="12. sz. tábla" sheetId="189" r:id="rId18"/>
    <sheet name="13.sz. tábla (2)" sheetId="184" r:id="rId19"/>
    <sheet name="14. sz. stabilitási tv  (3)" sheetId="185" r:id="rId20"/>
    <sheet name="15. sz. tábla (2)" sheetId="188" r:id="rId21"/>
    <sheet name="16. sz. tábla (3)" sheetId="187" r:id="rId22"/>
    <sheet name="17. sz. tábla " sheetId="171" r:id="rId23"/>
    <sheet name="18.sz.tábla  (4)" sheetId="186" r:id="rId24"/>
  </sheets>
  <externalReferences>
    <externalReference r:id="rId25"/>
    <externalReference r:id="rId26"/>
    <externalReference r:id="rId27"/>
    <externalReference r:id="rId28"/>
    <externalReference r:id="rId29"/>
    <externalReference r:id="rId30"/>
    <externalReference r:id="rId31"/>
  </externalReferences>
  <definedNames>
    <definedName name="_xlnm.Print_Area" localSheetId="0">'1.sz.tábla   (2)'!$A$1:$E$54</definedName>
    <definedName name="_xlnm.Print_Area" localSheetId="15">'10 tábla  '!$A$1:$L$83</definedName>
    <definedName name="_xlnm.Print_Area" localSheetId="17">'12. sz. tábla'!$A$1:$E$24</definedName>
    <definedName name="_xlnm.Print_Area" localSheetId="18">'13.sz. tábla (2)'!$A$1:$G$474</definedName>
    <definedName name="_xlnm.Print_Area" localSheetId="19">'14. sz. stabilitási tv  (3)'!$A$1:$H$26</definedName>
    <definedName name="_xlnm.Print_Area" localSheetId="20">'15. sz. tábla (2)'!$A$1:$C$29</definedName>
    <definedName name="_xlnm.Print_Area" localSheetId="21">'16. sz. tábla (3)'!$A$1:$C$32</definedName>
    <definedName name="_xlnm.Print_Area" localSheetId="22">'17. sz. tábla '!$A$1:$N$54</definedName>
    <definedName name="_xlnm.Print_Area" localSheetId="23">'18.sz.tábla  (4)'!$A$1:$E$42</definedName>
    <definedName name="_xlnm.Print_Area" localSheetId="2">'2.a tábla ÚJ '!$A$1:$V$60</definedName>
    <definedName name="_xlnm.Print_Area" localSheetId="1">'2.sz.tábla   (2)'!$A$1:$Q$94</definedName>
    <definedName name="_xlnm.Print_Area" localSheetId="3">'2b. tábla 2020. (2)'!$A$1:$K$93</definedName>
    <definedName name="_xlnm.Print_Area" localSheetId="4">'2c. tábla 2020. (2)'!$A$1:$N$119</definedName>
    <definedName name="_xlnm.Print_Area" localSheetId="5">'3.sz. tábla  (2)'!$A$1:$AI$16</definedName>
    <definedName name="_xlnm.Print_Area" localSheetId="6">'4.sz.tábla '!$A$1:$AY$13</definedName>
    <definedName name="_xlnm.Print_Area" localSheetId="8">'5.tábla (2)'!$A$1:$E$146</definedName>
    <definedName name="_xlnm.Print_Area" localSheetId="9">'5b. sz. tábla  (2)'!$A$2:$E$80</definedName>
    <definedName name="_xlnm.Print_Area" localSheetId="10">'6.sz.tábla  (3)'!$A$1:$E$120</definedName>
    <definedName name="_xlnm.Print_Area" localSheetId="11">'7. sz. tábla 1'!$A$4:$E$242</definedName>
    <definedName name="_xlnm.Print_Area" localSheetId="12">'8. sz. tábla  (3)'!$A$1:$J$61</definedName>
    <definedName name="_xlnm.Print_Area" localSheetId="13">'8a. sz. tábla  (4)'!$A$2:$H$62</definedName>
    <definedName name="_xlnm.Print_Area" localSheetId="14">'9. sz. tábla (2)'!$A$1:$J$95</definedName>
    <definedName name="onev" localSheetId="23">[1]kod!$BT$34:$BT$3186</definedName>
    <definedName name="onev" localSheetId="3">[2]kod!$BT$34:$BT$3186</definedName>
    <definedName name="onev" localSheetId="4">[2]kod!$BT$34:$BT$3186</definedName>
    <definedName name="onev">[1]kod!$BT$34:$BT$3186</definedName>
  </definedNames>
  <calcPr calcId="144525"/>
</workbook>
</file>

<file path=xl/calcChain.xml><?xml version="1.0" encoding="utf-8"?>
<calcChain xmlns="http://schemas.openxmlformats.org/spreadsheetml/2006/main">
  <c r="K82" i="191" l="1"/>
  <c r="L82" i="191" s="1"/>
  <c r="K81" i="191"/>
  <c r="L81" i="191" s="1"/>
  <c r="K80" i="191"/>
  <c r="L80" i="191" s="1"/>
  <c r="K79" i="191"/>
  <c r="L79" i="191" s="1"/>
  <c r="K78" i="191"/>
  <c r="L78" i="191" s="1"/>
  <c r="K77" i="191"/>
  <c r="L77" i="191" s="1"/>
  <c r="K76" i="191"/>
  <c r="L76" i="191" s="1"/>
  <c r="L75" i="191"/>
  <c r="K75" i="191"/>
  <c r="L74" i="191"/>
  <c r="K74" i="191"/>
  <c r="M75" i="191" s="1"/>
  <c r="L73" i="191"/>
  <c r="K73" i="191"/>
  <c r="L71" i="191"/>
  <c r="K71" i="191"/>
  <c r="L70" i="191"/>
  <c r="K70" i="191"/>
  <c r="L69" i="191"/>
  <c r="K69" i="191"/>
  <c r="L68" i="191"/>
  <c r="K68" i="191"/>
  <c r="L67" i="191"/>
  <c r="K67" i="191"/>
  <c r="L65" i="191"/>
  <c r="K65" i="191"/>
  <c r="L64" i="191"/>
  <c r="K64" i="191"/>
  <c r="L63" i="191"/>
  <c r="K63" i="191"/>
  <c r="L62" i="191"/>
  <c r="K62" i="191"/>
  <c r="L61" i="191"/>
  <c r="K61" i="191"/>
  <c r="L60" i="191"/>
  <c r="K60" i="191"/>
  <c r="L59" i="191"/>
  <c r="K59" i="191"/>
  <c r="L58" i="191"/>
  <c r="K58" i="191"/>
  <c r="L56" i="191"/>
  <c r="K56" i="191"/>
  <c r="L55" i="191"/>
  <c r="K55" i="191"/>
  <c r="L54" i="191"/>
  <c r="K54" i="191"/>
  <c r="L53" i="191"/>
  <c r="K53" i="191"/>
  <c r="L52" i="191"/>
  <c r="K52" i="191"/>
  <c r="L51" i="191"/>
  <c r="K51" i="191"/>
  <c r="L50" i="191"/>
  <c r="K50" i="191"/>
  <c r="L49" i="191"/>
  <c r="K49" i="191"/>
  <c r="L48" i="191"/>
  <c r="K48" i="191"/>
  <c r="L46" i="191"/>
  <c r="K46" i="191"/>
  <c r="L45" i="191"/>
  <c r="K45" i="191"/>
  <c r="L44" i="191"/>
  <c r="K44" i="191"/>
  <c r="L43" i="191"/>
  <c r="K43" i="191"/>
  <c r="L42" i="191"/>
  <c r="K42" i="191"/>
  <c r="L41" i="191"/>
  <c r="K41" i="191"/>
  <c r="L40" i="191"/>
  <c r="K40" i="191"/>
  <c r="L39" i="191"/>
  <c r="K39" i="191"/>
  <c r="L38" i="191"/>
  <c r="K38" i="191"/>
  <c r="L37" i="191"/>
  <c r="K37" i="191"/>
  <c r="L36" i="191"/>
  <c r="K36" i="191"/>
  <c r="L35" i="191"/>
  <c r="K35" i="191"/>
  <c r="L33" i="191"/>
  <c r="K33" i="191"/>
  <c r="L32" i="191"/>
  <c r="K32" i="191"/>
  <c r="L31" i="191"/>
  <c r="K31" i="191"/>
  <c r="L30" i="191"/>
  <c r="K30" i="191"/>
  <c r="L29" i="191"/>
  <c r="K28" i="191"/>
  <c r="L28" i="191" s="1"/>
  <c r="K27" i="191"/>
  <c r="L27" i="191" s="1"/>
  <c r="K26" i="191"/>
  <c r="L26" i="191" s="1"/>
  <c r="K25" i="191"/>
  <c r="L25" i="191" s="1"/>
  <c r="K24" i="191"/>
  <c r="L24" i="191" s="1"/>
  <c r="K22" i="191"/>
  <c r="L22" i="191" s="1"/>
  <c r="K21" i="191"/>
  <c r="J21" i="191"/>
  <c r="I21" i="191"/>
  <c r="I83" i="191" s="1"/>
  <c r="H21" i="191"/>
  <c r="G21" i="191"/>
  <c r="G83" i="191" s="1"/>
  <c r="F21" i="191"/>
  <c r="E21" i="191"/>
  <c r="E83" i="191" s="1"/>
  <c r="D21" i="191"/>
  <c r="L20" i="191"/>
  <c r="K20" i="191"/>
  <c r="J20" i="191"/>
  <c r="G20" i="191"/>
  <c r="F20" i="191"/>
  <c r="E20" i="191"/>
  <c r="D20" i="191"/>
  <c r="L18" i="191"/>
  <c r="K18" i="191"/>
  <c r="J18" i="191"/>
  <c r="F18" i="191"/>
  <c r="E18" i="191"/>
  <c r="D18" i="191"/>
  <c r="J16" i="191"/>
  <c r="I16" i="191"/>
  <c r="H16" i="191"/>
  <c r="G16" i="191"/>
  <c r="F16" i="191"/>
  <c r="E16" i="191"/>
  <c r="D16" i="191"/>
  <c r="N15" i="191"/>
  <c r="L15" i="191"/>
  <c r="L16" i="191" s="1"/>
  <c r="K15" i="191"/>
  <c r="K16" i="191" s="1"/>
  <c r="J14" i="191"/>
  <c r="I14" i="191"/>
  <c r="H14" i="191"/>
  <c r="G14" i="191"/>
  <c r="F14" i="191"/>
  <c r="E14" i="191"/>
  <c r="D14" i="191"/>
  <c r="L13" i="191"/>
  <c r="L14" i="191" s="1"/>
  <c r="K13" i="191"/>
  <c r="K14" i="191" s="1"/>
  <c r="J12" i="191"/>
  <c r="J83" i="191" s="1"/>
  <c r="I12" i="191"/>
  <c r="H12" i="191"/>
  <c r="H83" i="191" s="1"/>
  <c r="G12" i="191"/>
  <c r="F12" i="191"/>
  <c r="F83" i="191" s="1"/>
  <c r="E12" i="191"/>
  <c r="D12" i="191"/>
  <c r="H30" i="190"/>
  <c r="G30" i="190"/>
  <c r="F30" i="190"/>
  <c r="E30" i="190"/>
  <c r="H23" i="190"/>
  <c r="G23" i="190"/>
  <c r="F23" i="190"/>
  <c r="E23" i="190"/>
  <c r="E21" i="190"/>
  <c r="F20" i="190"/>
  <c r="F21" i="190" s="1"/>
  <c r="F19" i="190" s="1"/>
  <c r="F24" i="190" s="1"/>
  <c r="F43" i="190" s="1"/>
  <c r="E19" i="190"/>
  <c r="E24" i="190" s="1"/>
  <c r="E43" i="190" s="1"/>
  <c r="F23" i="189"/>
  <c r="D23" i="189" s="1"/>
  <c r="F22" i="189"/>
  <c r="E22" i="189"/>
  <c r="D22" i="189"/>
  <c r="D21" i="189"/>
  <c r="F20" i="189"/>
  <c r="D20" i="189" s="1"/>
  <c r="F19" i="189"/>
  <c r="D19" i="189" s="1"/>
  <c r="F18" i="189"/>
  <c r="D18" i="189" s="1"/>
  <c r="F17" i="189"/>
  <c r="D17" i="189" s="1"/>
  <c r="F16" i="189"/>
  <c r="D16" i="189" s="1"/>
  <c r="E15" i="189"/>
  <c r="E24" i="189" s="1"/>
  <c r="D13" i="189"/>
  <c r="D11" i="189" s="1"/>
  <c r="D12" i="189"/>
  <c r="E11" i="189"/>
  <c r="D24" i="188"/>
  <c r="B23" i="188"/>
  <c r="B24" i="188" s="1"/>
  <c r="B13" i="188"/>
  <c r="B17" i="187"/>
  <c r="B15" i="187"/>
  <c r="B18" i="187" s="1"/>
  <c r="B21" i="187" s="1"/>
  <c r="B24" i="187" s="1"/>
  <c r="B27" i="187" s="1"/>
  <c r="B30" i="187" s="1"/>
  <c r="E41" i="186"/>
  <c r="D41" i="186"/>
  <c r="C41" i="186"/>
  <c r="B40" i="186"/>
  <c r="B39" i="186"/>
  <c r="B41" i="186" s="1"/>
  <c r="B38" i="186"/>
  <c r="B36" i="186"/>
  <c r="E35" i="186"/>
  <c r="B35" i="186"/>
  <c r="E34" i="186"/>
  <c r="D34" i="186"/>
  <c r="D37" i="186" s="1"/>
  <c r="D42" i="186" s="1"/>
  <c r="C34" i="186"/>
  <c r="B34" i="186"/>
  <c r="B33" i="186"/>
  <c r="B32" i="186"/>
  <c r="B31" i="186"/>
  <c r="B30" i="186"/>
  <c r="E29" i="186"/>
  <c r="D29" i="186"/>
  <c r="C29" i="186"/>
  <c r="B29" i="186"/>
  <c r="B28" i="186"/>
  <c r="B27" i="186"/>
  <c r="B26" i="186"/>
  <c r="B25" i="186"/>
  <c r="B23" i="186" s="1"/>
  <c r="B24" i="186"/>
  <c r="E23" i="186"/>
  <c r="E37" i="186" s="1"/>
  <c r="E42" i="186" s="1"/>
  <c r="D23" i="186"/>
  <c r="C23" i="186"/>
  <c r="C37" i="186" s="1"/>
  <c r="C42" i="186" s="1"/>
  <c r="E20" i="186"/>
  <c r="D20" i="186"/>
  <c r="C20" i="186"/>
  <c r="B19" i="186"/>
  <c r="B18" i="186"/>
  <c r="B20" i="186" s="1"/>
  <c r="E16" i="186"/>
  <c r="E21" i="186" s="1"/>
  <c r="E43" i="186" s="1"/>
  <c r="D16" i="186"/>
  <c r="D21" i="186" s="1"/>
  <c r="C16" i="186"/>
  <c r="C21" i="186" s="1"/>
  <c r="C43" i="186" s="1"/>
  <c r="B15" i="186"/>
  <c r="B14" i="186"/>
  <c r="B13" i="186"/>
  <c r="B12" i="186"/>
  <c r="B11" i="186"/>
  <c r="B10" i="186"/>
  <c r="B9" i="186"/>
  <c r="B16" i="186" s="1"/>
  <c r="B21" i="186" s="1"/>
  <c r="K12" i="191" l="1"/>
  <c r="K83" i="191" s="1"/>
  <c r="M16" i="191"/>
  <c r="L21" i="191"/>
  <c r="D83" i="191"/>
  <c r="M13" i="191"/>
  <c r="G20" i="190"/>
  <c r="D24" i="189"/>
  <c r="D15" i="189"/>
  <c r="B26" i="188"/>
  <c r="B37" i="186"/>
  <c r="B42" i="186" s="1"/>
  <c r="D43" i="186"/>
  <c r="L83" i="191" l="1"/>
  <c r="L12" i="191"/>
  <c r="H20" i="190"/>
  <c r="H21" i="190" s="1"/>
  <c r="H19" i="190" s="1"/>
  <c r="H24" i="190" s="1"/>
  <c r="H43" i="190" s="1"/>
  <c r="G21" i="190"/>
  <c r="G19" i="190" s="1"/>
  <c r="G24" i="190" s="1"/>
  <c r="G43" i="190" s="1"/>
  <c r="D26" i="155" l="1"/>
  <c r="D29" i="155"/>
  <c r="H97" i="170" l="1"/>
  <c r="D41" i="170"/>
  <c r="I38" i="158" l="1"/>
  <c r="M46" i="171" l="1"/>
  <c r="N10" i="171"/>
  <c r="D55" i="170"/>
  <c r="D42" i="170"/>
  <c r="E119" i="155"/>
  <c r="E116" i="155"/>
  <c r="E117" i="155"/>
  <c r="E118" i="155"/>
  <c r="E96" i="155"/>
  <c r="D61" i="155"/>
  <c r="D46" i="155"/>
  <c r="E60" i="155"/>
  <c r="E73" i="155"/>
  <c r="E45" i="156"/>
  <c r="E37" i="156"/>
  <c r="D121" i="183"/>
  <c r="E118" i="183"/>
  <c r="D119" i="183"/>
  <c r="E39" i="183"/>
  <c r="D40" i="183"/>
  <c r="E217" i="157"/>
  <c r="E218" i="157"/>
  <c r="E196" i="157"/>
  <c r="E113" i="157"/>
  <c r="E161" i="157"/>
  <c r="E160" i="157"/>
  <c r="E159" i="157"/>
  <c r="E158" i="157"/>
  <c r="E154" i="157"/>
  <c r="E155" i="157"/>
  <c r="E156" i="157"/>
  <c r="E157" i="157"/>
  <c r="E162" i="157"/>
  <c r="E135" i="157"/>
  <c r="E133" i="157"/>
  <c r="E132" i="157"/>
  <c r="E131" i="157"/>
  <c r="E116" i="157"/>
  <c r="E117" i="157"/>
  <c r="D198" i="184"/>
  <c r="D195" i="184" l="1"/>
  <c r="D194" i="184"/>
  <c r="D193" i="184"/>
  <c r="D189" i="184"/>
  <c r="E189" i="184" s="1"/>
  <c r="D186" i="184"/>
  <c r="E186" i="184" s="1"/>
  <c r="C189" i="184"/>
  <c r="C190" i="184" s="1"/>
  <c r="E196" i="184"/>
  <c r="C201" i="184"/>
  <c r="D177" i="184"/>
  <c r="B201" i="184"/>
  <c r="E200" i="184"/>
  <c r="E199" i="184"/>
  <c r="E198" i="184"/>
  <c r="E197" i="184"/>
  <c r="E195" i="184"/>
  <c r="E194" i="184"/>
  <c r="B190" i="184"/>
  <c r="E187" i="184"/>
  <c r="F209" i="184"/>
  <c r="E210" i="184"/>
  <c r="F210" i="184" s="1"/>
  <c r="E211" i="184"/>
  <c r="F211" i="184" s="1"/>
  <c r="B212" i="184"/>
  <c r="C212" i="184"/>
  <c r="D212" i="184"/>
  <c r="F215" i="184"/>
  <c r="F216" i="184"/>
  <c r="F217" i="184"/>
  <c r="E218" i="184"/>
  <c r="F218" i="184" s="1"/>
  <c r="F219" i="184"/>
  <c r="B220" i="184"/>
  <c r="C220" i="184"/>
  <c r="D220" i="184"/>
  <c r="C164" i="184"/>
  <c r="D201" i="184" l="1"/>
  <c r="E193" i="184"/>
  <c r="E201" i="184" s="1"/>
  <c r="F201" i="184" s="1"/>
  <c r="F220" i="184"/>
  <c r="E212" i="184"/>
  <c r="D190" i="184"/>
  <c r="E220" i="184"/>
  <c r="F212" i="184"/>
  <c r="E188" i="184" l="1"/>
  <c r="E190" i="184" s="1"/>
  <c r="F190" i="184" s="1"/>
  <c r="E43" i="148"/>
  <c r="E45" i="148"/>
  <c r="E54" i="148"/>
  <c r="B16" i="155" l="1"/>
  <c r="E20" i="155"/>
  <c r="C16" i="155"/>
  <c r="C7" i="155"/>
  <c r="D7" i="155"/>
  <c r="B7" i="155"/>
  <c r="B10" i="154" s="1"/>
  <c r="E10" i="155"/>
  <c r="E11" i="155"/>
  <c r="K47" i="171" l="1"/>
  <c r="L47" i="171"/>
  <c r="M47" i="171"/>
  <c r="E14" i="134" l="1"/>
  <c r="F18" i="134"/>
  <c r="AW7" i="154"/>
  <c r="AE10" i="153"/>
  <c r="AF10" i="153"/>
  <c r="AW8" i="154"/>
  <c r="M92" i="166" l="1"/>
  <c r="J76" i="167" l="1"/>
  <c r="M117" i="166"/>
  <c r="J88" i="167"/>
  <c r="K91" i="167"/>
  <c r="K90" i="167" l="1"/>
  <c r="K89" i="167"/>
  <c r="K88" i="167" l="1"/>
  <c r="D23" i="149" s="1"/>
  <c r="D22" i="149" s="1"/>
  <c r="D23" i="170" s="1"/>
  <c r="C51" i="148"/>
  <c r="C50" i="148"/>
  <c r="C48" i="148"/>
  <c r="C44" i="148"/>
  <c r="O90" i="149"/>
  <c r="O89" i="149"/>
  <c r="O88" i="149"/>
  <c r="O87" i="149"/>
  <c r="O86" i="149"/>
  <c r="O85" i="149"/>
  <c r="O83" i="149"/>
  <c r="O82" i="149"/>
  <c r="O81" i="149"/>
  <c r="O73" i="149"/>
  <c r="O72" i="149"/>
  <c r="O71" i="149"/>
  <c r="O68" i="149"/>
  <c r="O67" i="149"/>
  <c r="O63" i="149"/>
  <c r="O62" i="149"/>
  <c r="O60" i="149"/>
  <c r="O56" i="149"/>
  <c r="O55" i="149"/>
  <c r="O54" i="149"/>
  <c r="O50" i="149"/>
  <c r="O49" i="149"/>
  <c r="O48" i="149"/>
  <c r="O44" i="149"/>
  <c r="O41" i="149"/>
  <c r="O40" i="149"/>
  <c r="O39" i="149"/>
  <c r="O37" i="149"/>
  <c r="O36" i="149"/>
  <c r="O33" i="149"/>
  <c r="O32" i="149"/>
  <c r="O23" i="149"/>
  <c r="K79" i="149"/>
  <c r="K30" i="149"/>
  <c r="K8" i="149"/>
  <c r="G94" i="149"/>
  <c r="G80" i="149"/>
  <c r="G79" i="149" s="1"/>
  <c r="G78" i="149"/>
  <c r="G77" i="149"/>
  <c r="G70" i="149"/>
  <c r="G66" i="149"/>
  <c r="G61" i="149"/>
  <c r="G58" i="149" s="1"/>
  <c r="G47" i="149"/>
  <c r="G46" i="149"/>
  <c r="O46" i="149" s="1"/>
  <c r="G45" i="149"/>
  <c r="G42" i="149"/>
  <c r="O42" i="149" s="1"/>
  <c r="G22" i="149"/>
  <c r="G20" i="149"/>
  <c r="G8" i="149"/>
  <c r="C94" i="149"/>
  <c r="C93" i="149"/>
  <c r="C84" i="149"/>
  <c r="O84" i="149" s="1"/>
  <c r="C80" i="149"/>
  <c r="C76" i="149"/>
  <c r="T15" i="153" s="1"/>
  <c r="C70" i="149"/>
  <c r="C66" i="149"/>
  <c r="C58" i="149"/>
  <c r="C43" i="149"/>
  <c r="C38" i="149"/>
  <c r="O38" i="149" s="1"/>
  <c r="C35" i="149"/>
  <c r="O35" i="149" s="1"/>
  <c r="C31" i="149"/>
  <c r="O31" i="149" s="1"/>
  <c r="C22" i="149"/>
  <c r="T54" i="150"/>
  <c r="T57" i="150" s="1"/>
  <c r="G93" i="149" s="1"/>
  <c r="T46" i="150"/>
  <c r="T34" i="150"/>
  <c r="T28" i="150"/>
  <c r="G52" i="149" s="1"/>
  <c r="T17" i="150"/>
  <c r="T12" i="150"/>
  <c r="O56" i="150"/>
  <c r="K94" i="149" s="1"/>
  <c r="O55" i="150"/>
  <c r="O54" i="150"/>
  <c r="O53" i="150"/>
  <c r="O48" i="150"/>
  <c r="K78" i="149" s="1"/>
  <c r="O47" i="150"/>
  <c r="O43" i="150"/>
  <c r="O42" i="150"/>
  <c r="O41" i="150"/>
  <c r="O40" i="150" s="1"/>
  <c r="O37" i="150"/>
  <c r="O34" i="150" s="1"/>
  <c r="O33" i="150"/>
  <c r="K57" i="149" s="1"/>
  <c r="O57" i="149" s="1"/>
  <c r="O32" i="150"/>
  <c r="O31" i="150"/>
  <c r="O30" i="150"/>
  <c r="O29" i="150"/>
  <c r="K53" i="149" s="1"/>
  <c r="O53" i="149" s="1"/>
  <c r="O28" i="150"/>
  <c r="K52" i="149" s="1"/>
  <c r="O27" i="150"/>
  <c r="K51" i="149" s="1"/>
  <c r="O51" i="149" s="1"/>
  <c r="O26" i="150"/>
  <c r="O25" i="150"/>
  <c r="K47" i="149" s="1"/>
  <c r="O24" i="150"/>
  <c r="O23" i="150"/>
  <c r="O16" i="150"/>
  <c r="K27" i="149" s="1"/>
  <c r="O14" i="150"/>
  <c r="K21" i="149" s="1"/>
  <c r="O21" i="149" s="1"/>
  <c r="O13" i="150"/>
  <c r="O12" i="150" s="1"/>
  <c r="K57" i="150"/>
  <c r="K46" i="150"/>
  <c r="K40" i="150"/>
  <c r="K34" i="150"/>
  <c r="K21" i="150"/>
  <c r="K15" i="150"/>
  <c r="K12" i="150"/>
  <c r="G57" i="150"/>
  <c r="G46" i="150"/>
  <c r="T10" i="153" s="1"/>
  <c r="G40" i="150"/>
  <c r="G34" i="150"/>
  <c r="G21" i="150"/>
  <c r="G15" i="150"/>
  <c r="G12" i="150"/>
  <c r="C57" i="150"/>
  <c r="C46" i="150"/>
  <c r="C34" i="150"/>
  <c r="C21" i="150"/>
  <c r="C15" i="150"/>
  <c r="C12" i="150"/>
  <c r="J31" i="167"/>
  <c r="H31" i="167"/>
  <c r="F31" i="167"/>
  <c r="E32" i="167"/>
  <c r="E33" i="167"/>
  <c r="G33" i="167" s="1"/>
  <c r="I33" i="167" s="1"/>
  <c r="K33" i="167" s="1"/>
  <c r="E34" i="167"/>
  <c r="G34" i="167" s="1"/>
  <c r="I34" i="167" s="1"/>
  <c r="K34" i="167" s="1"/>
  <c r="E35" i="167"/>
  <c r="G35" i="167" s="1"/>
  <c r="I35" i="167" s="1"/>
  <c r="K35" i="167" s="1"/>
  <c r="E36" i="167"/>
  <c r="G36" i="167" s="1"/>
  <c r="I36" i="167" s="1"/>
  <c r="K36" i="167" s="1"/>
  <c r="J70" i="167"/>
  <c r="J62" i="167"/>
  <c r="J57" i="167"/>
  <c r="J43" i="167"/>
  <c r="K24" i="167"/>
  <c r="K22" i="167" s="1"/>
  <c r="K21" i="167"/>
  <c r="K19" i="167" s="1"/>
  <c r="K18" i="167"/>
  <c r="K16" i="167"/>
  <c r="K14" i="167"/>
  <c r="J7" i="167"/>
  <c r="J6" i="167" s="1"/>
  <c r="K13" i="166"/>
  <c r="M93" i="166"/>
  <c r="M90" i="166"/>
  <c r="M83" i="166"/>
  <c r="M78" i="166"/>
  <c r="M36" i="166"/>
  <c r="M25" i="166"/>
  <c r="T13" i="153"/>
  <c r="G12" i="153"/>
  <c r="AT8" i="154"/>
  <c r="T10" i="154"/>
  <c r="T9" i="154"/>
  <c r="P9" i="154"/>
  <c r="K9" i="154"/>
  <c r="G9" i="154"/>
  <c r="C10" i="154"/>
  <c r="C9" i="154"/>
  <c r="E22" i="134"/>
  <c r="E24" i="134"/>
  <c r="E25" i="134"/>
  <c r="E26" i="134"/>
  <c r="D26" i="134"/>
  <c r="D25" i="134"/>
  <c r="D24" i="134"/>
  <c r="D22" i="134"/>
  <c r="D14" i="134"/>
  <c r="X7" i="154" s="1"/>
  <c r="AT7" i="154" s="1"/>
  <c r="D7" i="134"/>
  <c r="D6" i="134"/>
  <c r="C141" i="155"/>
  <c r="C124" i="155"/>
  <c r="P12" i="154" s="1"/>
  <c r="C123" i="155"/>
  <c r="C88" i="155"/>
  <c r="C87" i="155"/>
  <c r="C81" i="155"/>
  <c r="C80" i="155"/>
  <c r="C78" i="155"/>
  <c r="C76" i="155"/>
  <c r="C61" i="155"/>
  <c r="G12" i="154" s="1"/>
  <c r="C46" i="155"/>
  <c r="C12" i="154" s="1"/>
  <c r="C37" i="155"/>
  <c r="X10" i="154" s="1"/>
  <c r="C33" i="155"/>
  <c r="C31" i="155"/>
  <c r="C25" i="155"/>
  <c r="K10" i="154" s="1"/>
  <c r="C21" i="155"/>
  <c r="G10" i="154"/>
  <c r="C12" i="155"/>
  <c r="C13" i="156"/>
  <c r="C144" i="155" s="1"/>
  <c r="C5" i="156"/>
  <c r="C139" i="155" s="1"/>
  <c r="C122" i="183"/>
  <c r="C121" i="183"/>
  <c r="B121" i="183"/>
  <c r="C123" i="183"/>
  <c r="C119" i="183"/>
  <c r="C106" i="183"/>
  <c r="C97" i="183"/>
  <c r="C92" i="183"/>
  <c r="C85" i="183"/>
  <c r="C76" i="183"/>
  <c r="C59" i="183"/>
  <c r="C48" i="183"/>
  <c r="C40" i="183"/>
  <c r="C32" i="183"/>
  <c r="C20" i="183"/>
  <c r="C14" i="183"/>
  <c r="C236" i="157"/>
  <c r="C237" i="157" s="1"/>
  <c r="AK12" i="154" s="1"/>
  <c r="AK13" i="154" s="1"/>
  <c r="C225" i="157"/>
  <c r="C203" i="157"/>
  <c r="C197" i="157"/>
  <c r="C179" i="157"/>
  <c r="C173" i="157"/>
  <c r="C166" i="157"/>
  <c r="C163" i="157"/>
  <c r="C97" i="157"/>
  <c r="O70" i="149" l="1"/>
  <c r="C191" i="157"/>
  <c r="C229" i="157" s="1"/>
  <c r="AG12" i="154" s="1"/>
  <c r="AG13" i="154" s="1"/>
  <c r="C169" i="157"/>
  <c r="C170" i="157" s="1"/>
  <c r="X12" i="154" s="1"/>
  <c r="C124" i="183"/>
  <c r="T21" i="150"/>
  <c r="T44" i="150" s="1"/>
  <c r="O13" i="153" s="1"/>
  <c r="O80" i="149"/>
  <c r="O79" i="149" s="1"/>
  <c r="C79" i="149"/>
  <c r="C91" i="149" s="1"/>
  <c r="G7" i="149"/>
  <c r="C134" i="155"/>
  <c r="T12" i="154" s="1"/>
  <c r="D5" i="134"/>
  <c r="X6" i="154" s="1"/>
  <c r="X9" i="154" s="1"/>
  <c r="O15" i="150"/>
  <c r="O57" i="150"/>
  <c r="K93" i="149" s="1"/>
  <c r="O93" i="149" s="1"/>
  <c r="O21" i="150"/>
  <c r="G30" i="149"/>
  <c r="E31" i="167"/>
  <c r="B10" i="149" s="1"/>
  <c r="G43" i="149"/>
  <c r="O52" i="149"/>
  <c r="O94" i="149"/>
  <c r="O47" i="149"/>
  <c r="K22" i="149"/>
  <c r="O27" i="149"/>
  <c r="O22" i="149" s="1"/>
  <c r="O78" i="149"/>
  <c r="J5" i="167"/>
  <c r="G32" i="167"/>
  <c r="O46" i="150"/>
  <c r="C34" i="149"/>
  <c r="O34" i="149" s="1"/>
  <c r="K20" i="149"/>
  <c r="O20" i="149" s="1"/>
  <c r="K69" i="149"/>
  <c r="C120" i="183"/>
  <c r="C80" i="156"/>
  <c r="C44" i="150"/>
  <c r="O9" i="153" s="1"/>
  <c r="G44" i="150"/>
  <c r="O10" i="153" s="1"/>
  <c r="K44" i="150"/>
  <c r="O11" i="153" s="1"/>
  <c r="G76" i="149"/>
  <c r="G91" i="149" s="1"/>
  <c r="K45" i="149"/>
  <c r="K43" i="149" s="1"/>
  <c r="K61" i="149"/>
  <c r="K77" i="149"/>
  <c r="K76" i="149" s="1"/>
  <c r="K75" i="149" s="1"/>
  <c r="C75" i="155"/>
  <c r="K12" i="154" s="1"/>
  <c r="G11" i="154"/>
  <c r="X11" i="154"/>
  <c r="C36" i="155"/>
  <c r="C42" i="155" s="1"/>
  <c r="D21" i="134"/>
  <c r="C11" i="154"/>
  <c r="C13" i="154" s="1"/>
  <c r="K11" i="154"/>
  <c r="P10" i="154"/>
  <c r="AT10" i="154" s="1"/>
  <c r="T11" i="154"/>
  <c r="E23" i="149"/>
  <c r="T11" i="153"/>
  <c r="T9" i="153"/>
  <c r="J39" i="167"/>
  <c r="M14" i="166"/>
  <c r="M48" i="166"/>
  <c r="M61" i="166"/>
  <c r="C240" i="157"/>
  <c r="C239" i="157"/>
  <c r="G74" i="149" l="1"/>
  <c r="J93" i="167"/>
  <c r="K50" i="150"/>
  <c r="K45" i="150" s="1"/>
  <c r="K51" i="150" s="1"/>
  <c r="G75" i="149"/>
  <c r="AT6" i="154"/>
  <c r="AT9" i="154" s="1"/>
  <c r="AT11" i="154" s="1"/>
  <c r="O43" i="149"/>
  <c r="C230" i="157"/>
  <c r="T13" i="154"/>
  <c r="T12" i="153"/>
  <c r="T14" i="153" s="1"/>
  <c r="T16" i="153" s="1"/>
  <c r="G50" i="150"/>
  <c r="G45" i="150" s="1"/>
  <c r="G51" i="150" s="1"/>
  <c r="X15" i="153"/>
  <c r="X16" i="153" s="1"/>
  <c r="C146" i="155"/>
  <c r="X13" i="154"/>
  <c r="K7" i="149"/>
  <c r="C75" i="149"/>
  <c r="D27" i="134"/>
  <c r="K91" i="149"/>
  <c r="O91" i="149" s="1"/>
  <c r="T50" i="150"/>
  <c r="T45" i="150" s="1"/>
  <c r="T51" i="150" s="1"/>
  <c r="O12" i="153"/>
  <c r="O14" i="153" s="1"/>
  <c r="G92" i="149"/>
  <c r="O76" i="149"/>
  <c r="O75" i="149" s="1"/>
  <c r="K66" i="149"/>
  <c r="O69" i="149"/>
  <c r="O66" i="149" s="1"/>
  <c r="C30" i="149"/>
  <c r="I32" i="167"/>
  <c r="G31" i="167"/>
  <c r="K58" i="149"/>
  <c r="O61" i="149"/>
  <c r="O58" i="149" s="1"/>
  <c r="O44" i="150"/>
  <c r="O77" i="149"/>
  <c r="O45" i="149"/>
  <c r="K13" i="154"/>
  <c r="P11" i="154"/>
  <c r="P13" i="154" s="1"/>
  <c r="M119" i="166"/>
  <c r="C242" i="157"/>
  <c r="AC12" i="154" s="1"/>
  <c r="AC13" i="154" s="1"/>
  <c r="C50" i="150" l="1"/>
  <c r="C45" i="150" s="1"/>
  <c r="C51" i="150" s="1"/>
  <c r="O45" i="150"/>
  <c r="O51" i="150" s="1"/>
  <c r="O50" i="150"/>
  <c r="O30" i="149"/>
  <c r="K74" i="149"/>
  <c r="K92" i="149" s="1"/>
  <c r="K32" i="167"/>
  <c r="L28" i="171" l="1"/>
  <c r="G41" i="170" l="1"/>
  <c r="G40" i="170"/>
  <c r="G39" i="170"/>
  <c r="C23" i="170" l="1"/>
  <c r="Q14" i="185" l="1"/>
  <c r="D87" i="155" l="1"/>
  <c r="D88" i="155"/>
  <c r="D76" i="155"/>
  <c r="D10" i="185" l="1"/>
  <c r="Q10" i="185" s="1"/>
  <c r="E26" i="185"/>
  <c r="F26" i="185"/>
  <c r="G26" i="185"/>
  <c r="H26" i="185"/>
  <c r="I26" i="185"/>
  <c r="J26" i="185"/>
  <c r="K26" i="185"/>
  <c r="L26" i="185"/>
  <c r="M26" i="185"/>
  <c r="N26" i="185"/>
  <c r="O26" i="185"/>
  <c r="P26" i="185"/>
  <c r="D26" i="185"/>
  <c r="Q21" i="185"/>
  <c r="Q22" i="185"/>
  <c r="Q23" i="185"/>
  <c r="Q24" i="185"/>
  <c r="Q25" i="185"/>
  <c r="Q26" i="185" l="1"/>
  <c r="R26" i="185"/>
  <c r="H15" i="185"/>
  <c r="H16" i="185" s="1"/>
  <c r="H27" i="185" s="1"/>
  <c r="I15" i="185"/>
  <c r="I16" i="185" s="1"/>
  <c r="I27" i="185" s="1"/>
  <c r="J15" i="185"/>
  <c r="J16" i="185" s="1"/>
  <c r="J27" i="185" s="1"/>
  <c r="K15" i="185"/>
  <c r="K16" i="185" s="1"/>
  <c r="K27" i="185" s="1"/>
  <c r="L15" i="185"/>
  <c r="L16" i="185" s="1"/>
  <c r="L27" i="185" s="1"/>
  <c r="M15" i="185"/>
  <c r="M16" i="185" s="1"/>
  <c r="M27" i="185" s="1"/>
  <c r="N15" i="185"/>
  <c r="N16" i="185" s="1"/>
  <c r="N27" i="185" s="1"/>
  <c r="O15" i="185"/>
  <c r="O16" i="185" s="1"/>
  <c r="O27" i="185" s="1"/>
  <c r="P15" i="185"/>
  <c r="P16" i="185" s="1"/>
  <c r="P27" i="185" s="1"/>
  <c r="I55" i="170" l="1"/>
  <c r="I14" i="170"/>
  <c r="H15" i="170"/>
  <c r="H9" i="170"/>
  <c r="J47" i="171" l="1"/>
  <c r="F41" i="184"/>
  <c r="E30" i="184"/>
  <c r="E31" i="184"/>
  <c r="D39" i="184"/>
  <c r="D32" i="184" s="1"/>
  <c r="E32" i="184" s="1"/>
  <c r="D36" i="184"/>
  <c r="D37" i="184"/>
  <c r="D179" i="157"/>
  <c r="E189" i="157"/>
  <c r="E190" i="157"/>
  <c r="D173" i="157"/>
  <c r="E176" i="157"/>
  <c r="E177" i="157"/>
  <c r="E151" i="157"/>
  <c r="E152" i="157"/>
  <c r="E153" i="157"/>
  <c r="E121" i="157"/>
  <c r="E122" i="157"/>
  <c r="D122" i="183"/>
  <c r="D240" i="157" s="1"/>
  <c r="D239" i="157"/>
  <c r="E112" i="183"/>
  <c r="D5" i="156"/>
  <c r="D139" i="155" s="1"/>
  <c r="E12" i="156"/>
  <c r="E120" i="155"/>
  <c r="C34" i="169" l="1"/>
  <c r="D26" i="170" s="1"/>
  <c r="I15" i="170"/>
  <c r="I60" i="170"/>
  <c r="I29" i="170" s="1"/>
  <c r="E39" i="184"/>
  <c r="D38" i="184"/>
  <c r="F39" i="184" s="1"/>
  <c r="I10" i="170"/>
  <c r="E72" i="155"/>
  <c r="I9" i="170"/>
  <c r="K9" i="170" s="1"/>
  <c r="E59" i="155"/>
  <c r="E33" i="149"/>
  <c r="E32" i="149"/>
  <c r="H83" i="167"/>
  <c r="K114" i="166" s="1"/>
  <c r="D51" i="148"/>
  <c r="D43" i="184" l="1"/>
  <c r="L21" i="150" l="1"/>
  <c r="L57" i="150" l="1"/>
  <c r="B39" i="170"/>
  <c r="AX7" i="154" l="1"/>
  <c r="H57" i="150" l="1"/>
  <c r="AU8" i="154" l="1"/>
  <c r="U57" i="150" l="1"/>
  <c r="D57" i="150"/>
  <c r="G15" i="185" l="1"/>
  <c r="G16" i="185" s="1"/>
  <c r="G27" i="185" s="1"/>
  <c r="F15" i="185"/>
  <c r="F16" i="185" s="1"/>
  <c r="F27" i="185" s="1"/>
  <c r="E15" i="185"/>
  <c r="E16" i="185" s="1"/>
  <c r="E27" i="185" s="1"/>
  <c r="D11" i="185"/>
  <c r="Q11" i="185" s="1"/>
  <c r="K22" i="166" l="1"/>
  <c r="K92" i="166"/>
  <c r="K88" i="166"/>
  <c r="K87" i="166"/>
  <c r="K76" i="166"/>
  <c r="K75" i="166"/>
  <c r="K57" i="166"/>
  <c r="K56" i="166"/>
  <c r="H78" i="167"/>
  <c r="H80" i="167"/>
  <c r="H77" i="167"/>
  <c r="K78" i="166" l="1"/>
  <c r="L37" i="166" l="1"/>
  <c r="N37" i="166" s="1"/>
  <c r="K60" i="166"/>
  <c r="K61" i="166" s="1"/>
  <c r="L89" i="166"/>
  <c r="N89" i="166" s="1"/>
  <c r="K90" i="166"/>
  <c r="L108" i="166"/>
  <c r="N108" i="166" s="1"/>
  <c r="L109" i="166"/>
  <c r="N109" i="166" s="1"/>
  <c r="L110" i="166"/>
  <c r="N110" i="166" s="1"/>
  <c r="L111" i="166"/>
  <c r="N111" i="166" s="1"/>
  <c r="L112" i="166"/>
  <c r="N112" i="166" s="1"/>
  <c r="L114" i="166"/>
  <c r="N114" i="166" s="1"/>
  <c r="K113" i="166"/>
  <c r="L113" i="166" s="1"/>
  <c r="N113" i="166" s="1"/>
  <c r="K83" i="166"/>
  <c r="L82" i="166"/>
  <c r="N82" i="166" s="1"/>
  <c r="K47" i="166"/>
  <c r="K35" i="166"/>
  <c r="L35" i="166" s="1"/>
  <c r="N35" i="166" s="1"/>
  <c r="K24" i="166"/>
  <c r="K25" i="166" s="1"/>
  <c r="L12" i="166"/>
  <c r="N12" i="166" s="1"/>
  <c r="L13" i="166"/>
  <c r="N13" i="166" s="1"/>
  <c r="L46" i="166"/>
  <c r="N46" i="166" s="1"/>
  <c r="L77" i="166"/>
  <c r="N77" i="166" s="1"/>
  <c r="L58" i="166"/>
  <c r="N58" i="166" s="1"/>
  <c r="L59" i="166"/>
  <c r="N59" i="166" s="1"/>
  <c r="K14" i="166" l="1"/>
  <c r="K36" i="166"/>
  <c r="L24" i="166"/>
  <c r="N24" i="166" s="1"/>
  <c r="K117" i="166"/>
  <c r="L60" i="166"/>
  <c r="N60" i="166" s="1"/>
  <c r="L47" i="166"/>
  <c r="N47" i="166" s="1"/>
  <c r="K48" i="166"/>
  <c r="L34" i="166"/>
  <c r="N34" i="166" s="1"/>
  <c r="L23" i="166"/>
  <c r="N23" i="166" s="1"/>
  <c r="H62" i="167" l="1"/>
  <c r="I67" i="167" l="1"/>
  <c r="K67" i="167" s="1"/>
  <c r="H76" i="167"/>
  <c r="I83" i="167"/>
  <c r="K83" i="167" s="1"/>
  <c r="I72" i="167"/>
  <c r="K72" i="167" s="1"/>
  <c r="I73" i="167"/>
  <c r="K73" i="167" s="1"/>
  <c r="I74" i="167"/>
  <c r="K74" i="167" s="1"/>
  <c r="H70" i="167"/>
  <c r="H43" i="167"/>
  <c r="I55" i="167"/>
  <c r="K55" i="167" s="1"/>
  <c r="I46" i="167"/>
  <c r="K46" i="167" s="1"/>
  <c r="F43" i="167"/>
  <c r="H57" i="167"/>
  <c r="I61" i="167"/>
  <c r="K61" i="167" s="1"/>
  <c r="H7" i="167"/>
  <c r="H6" i="167" s="1"/>
  <c r="H5" i="167" s="1"/>
  <c r="F62" i="167"/>
  <c r="G65" i="167"/>
  <c r="I65" i="167" s="1"/>
  <c r="K65" i="167" s="1"/>
  <c r="E64" i="167"/>
  <c r="G64" i="167" s="1"/>
  <c r="I64" i="167" s="1"/>
  <c r="K64" i="167" s="1"/>
  <c r="E63" i="167"/>
  <c r="G63" i="167" s="1"/>
  <c r="I63" i="167" s="1"/>
  <c r="K63" i="167" s="1"/>
  <c r="C44" i="167"/>
  <c r="G44" i="167"/>
  <c r="I44" i="167" s="1"/>
  <c r="K44" i="167" s="1"/>
  <c r="G45" i="167"/>
  <c r="I45" i="167" s="1"/>
  <c r="K45" i="167" s="1"/>
  <c r="E47" i="167"/>
  <c r="G47" i="167" s="1"/>
  <c r="E48" i="167"/>
  <c r="G48" i="167" s="1"/>
  <c r="I48" i="167" s="1"/>
  <c r="K48" i="167" s="1"/>
  <c r="E49" i="167"/>
  <c r="G49" i="167" s="1"/>
  <c r="I49" i="167" s="1"/>
  <c r="K49" i="167" s="1"/>
  <c r="E50" i="167"/>
  <c r="G50" i="167" s="1"/>
  <c r="I50" i="167" s="1"/>
  <c r="K50" i="167" s="1"/>
  <c r="E52" i="167"/>
  <c r="G52" i="167" s="1"/>
  <c r="I52" i="167" s="1"/>
  <c r="K52" i="167" s="1"/>
  <c r="E53" i="167"/>
  <c r="G53" i="167" s="1"/>
  <c r="I53" i="167" s="1"/>
  <c r="K53" i="167" s="1"/>
  <c r="E54" i="167"/>
  <c r="G54" i="167" s="1"/>
  <c r="I54" i="167" s="1"/>
  <c r="K54" i="167" s="1"/>
  <c r="G56" i="167"/>
  <c r="I56" i="167" s="1"/>
  <c r="K56" i="167" s="1"/>
  <c r="F57" i="167"/>
  <c r="E58" i="167"/>
  <c r="G58" i="167" s="1"/>
  <c r="I58" i="167" s="1"/>
  <c r="K58" i="167" s="1"/>
  <c r="G59" i="167"/>
  <c r="I59" i="167" s="1"/>
  <c r="K59" i="167" s="1"/>
  <c r="E60" i="167"/>
  <c r="G60" i="167" s="1"/>
  <c r="I60" i="167" s="1"/>
  <c r="K60" i="167" s="1"/>
  <c r="G66" i="167"/>
  <c r="I66" i="167" s="1"/>
  <c r="K66" i="167" s="1"/>
  <c r="F39" i="167" l="1"/>
  <c r="E62" i="167"/>
  <c r="G62" i="167" s="1"/>
  <c r="I62" i="167" s="1"/>
  <c r="K62" i="167" s="1"/>
  <c r="H39" i="167"/>
  <c r="H93" i="167" s="1"/>
  <c r="I47" i="167"/>
  <c r="K47" i="167" s="1"/>
  <c r="E51" i="167"/>
  <c r="G51" i="167" s="1"/>
  <c r="I51" i="167" s="1"/>
  <c r="K51" i="167" s="1"/>
  <c r="E57" i="167"/>
  <c r="G57" i="167" s="1"/>
  <c r="I57" i="167" s="1"/>
  <c r="K57" i="167" s="1"/>
  <c r="K43" i="167" l="1"/>
  <c r="K39" i="167" s="1"/>
  <c r="D11" i="149" s="1"/>
  <c r="E43" i="167"/>
  <c r="E39" i="167" s="1"/>
  <c r="B11" i="149" s="1"/>
  <c r="I43" i="167"/>
  <c r="I39" i="167" s="1"/>
  <c r="C11" i="149" s="1"/>
  <c r="O11" i="149" s="1"/>
  <c r="G43" i="167"/>
  <c r="G39" i="167" s="1"/>
  <c r="I37" i="167" l="1"/>
  <c r="I9" i="167"/>
  <c r="K9" i="167" s="1"/>
  <c r="I10" i="167"/>
  <c r="K10" i="167" s="1"/>
  <c r="K37" i="167" l="1"/>
  <c r="K31" i="167" s="1"/>
  <c r="D10" i="149" s="1"/>
  <c r="I31" i="167"/>
  <c r="C10" i="149" s="1"/>
  <c r="O10" i="149" s="1"/>
  <c r="H77" i="149"/>
  <c r="H78" i="149"/>
  <c r="H12" i="153"/>
  <c r="D9" i="154"/>
  <c r="D10" i="154"/>
  <c r="H9" i="154"/>
  <c r="L9" i="154"/>
  <c r="Q9" i="154"/>
  <c r="D11" i="154" l="1"/>
  <c r="F8" i="169" s="1"/>
  <c r="O33" i="171"/>
  <c r="G37" i="169"/>
  <c r="G13" i="169"/>
  <c r="C43" i="169"/>
  <c r="C21" i="169"/>
  <c r="C23" i="169"/>
  <c r="C25" i="169"/>
  <c r="E11" i="158"/>
  <c r="E12" i="158"/>
  <c r="E13" i="158"/>
  <c r="E14" i="158"/>
  <c r="E15" i="158"/>
  <c r="E16" i="158"/>
  <c r="E22" i="158"/>
  <c r="E23" i="158"/>
  <c r="E33" i="158"/>
  <c r="E34" i="158"/>
  <c r="E35" i="158"/>
  <c r="E36" i="158"/>
  <c r="E37" i="158"/>
  <c r="E38" i="158"/>
  <c r="E40" i="158"/>
  <c r="J42" i="158"/>
  <c r="J44" i="158"/>
  <c r="J45" i="158"/>
  <c r="J18" i="158"/>
  <c r="J21" i="158"/>
  <c r="J22" i="158"/>
  <c r="J24" i="158"/>
  <c r="U10" i="154"/>
  <c r="U9" i="154"/>
  <c r="G15" i="170" s="1"/>
  <c r="E42" i="148"/>
  <c r="E46" i="148"/>
  <c r="E47" i="148"/>
  <c r="E48" i="148"/>
  <c r="E49" i="148"/>
  <c r="E50" i="148"/>
  <c r="E51" i="148"/>
  <c r="E52" i="148"/>
  <c r="E53" i="148"/>
  <c r="E41" i="148"/>
  <c r="D44" i="148"/>
  <c r="D40" i="148" s="1"/>
  <c r="I12" i="158"/>
  <c r="I23" i="158"/>
  <c r="I36" i="158"/>
  <c r="I43" i="158"/>
  <c r="I41" i="158" s="1"/>
  <c r="I57" i="158" s="1"/>
  <c r="E241" i="157"/>
  <c r="D236" i="157"/>
  <c r="E235" i="157"/>
  <c r="E234" i="157"/>
  <c r="E233" i="157"/>
  <c r="E228" i="157"/>
  <c r="E227" i="157"/>
  <c r="E226" i="157"/>
  <c r="D225" i="157"/>
  <c r="E224" i="157"/>
  <c r="E223" i="157"/>
  <c r="E222" i="157"/>
  <c r="E221" i="157"/>
  <c r="E220" i="157"/>
  <c r="E219" i="157"/>
  <c r="E216" i="157"/>
  <c r="E215" i="157"/>
  <c r="E214" i="157"/>
  <c r="E213" i="157"/>
  <c r="E212" i="157"/>
  <c r="E211" i="157"/>
  <c r="E210" i="157"/>
  <c r="E209" i="157"/>
  <c r="E208" i="157"/>
  <c r="E207" i="157"/>
  <c r="E206" i="157"/>
  <c r="E205" i="157"/>
  <c r="E204" i="157"/>
  <c r="E201" i="157"/>
  <c r="E200" i="157"/>
  <c r="E199" i="157"/>
  <c r="E198" i="157"/>
  <c r="D197" i="157"/>
  <c r="E195" i="157"/>
  <c r="E194" i="157"/>
  <c r="E193" i="157"/>
  <c r="E192" i="157"/>
  <c r="E188" i="157"/>
  <c r="E187" i="157"/>
  <c r="E186" i="157"/>
  <c r="E185" i="157"/>
  <c r="E184" i="157"/>
  <c r="E183" i="157"/>
  <c r="E182" i="157"/>
  <c r="E181" i="157"/>
  <c r="E180" i="157"/>
  <c r="I35" i="158"/>
  <c r="E175" i="157"/>
  <c r="E173" i="157" s="1"/>
  <c r="G38" i="169"/>
  <c r="E168" i="157"/>
  <c r="E167" i="157"/>
  <c r="D166" i="157"/>
  <c r="E165" i="157"/>
  <c r="E164" i="157"/>
  <c r="D163" i="157"/>
  <c r="E150" i="157"/>
  <c r="E149" i="157"/>
  <c r="E148" i="157"/>
  <c r="E147" i="157"/>
  <c r="E146" i="157"/>
  <c r="E145" i="157"/>
  <c r="E144" i="157"/>
  <c r="E143" i="157"/>
  <c r="E142" i="157"/>
  <c r="E141" i="157"/>
  <c r="E140" i="157"/>
  <c r="E139" i="157"/>
  <c r="E138" i="157"/>
  <c r="E137" i="157"/>
  <c r="E136" i="157"/>
  <c r="E134" i="157"/>
  <c r="E129" i="157"/>
  <c r="E128" i="157"/>
  <c r="E127" i="157"/>
  <c r="E126" i="157"/>
  <c r="E125" i="157"/>
  <c r="E124" i="157"/>
  <c r="E123" i="157"/>
  <c r="E120" i="157"/>
  <c r="E119" i="157"/>
  <c r="E118" i="157"/>
  <c r="E115" i="157"/>
  <c r="E114" i="157"/>
  <c r="E112" i="157"/>
  <c r="E111" i="157"/>
  <c r="E110" i="157"/>
  <c r="E109" i="157"/>
  <c r="E108" i="157"/>
  <c r="E107" i="157"/>
  <c r="E106" i="157"/>
  <c r="E105" i="157"/>
  <c r="E104" i="157"/>
  <c r="E103" i="157"/>
  <c r="E102" i="157"/>
  <c r="E101" i="157"/>
  <c r="E100" i="157"/>
  <c r="D97" i="157"/>
  <c r="E96" i="157"/>
  <c r="E95" i="157"/>
  <c r="E94" i="157"/>
  <c r="E93" i="157"/>
  <c r="E92" i="157"/>
  <c r="E91" i="157"/>
  <c r="E90" i="157"/>
  <c r="E89" i="157"/>
  <c r="E88" i="157"/>
  <c r="E87" i="157"/>
  <c r="E86" i="157"/>
  <c r="E85" i="157"/>
  <c r="E84" i="157"/>
  <c r="E83" i="157"/>
  <c r="E82" i="157"/>
  <c r="E81" i="157"/>
  <c r="E80" i="157"/>
  <c r="E79" i="157"/>
  <c r="E78" i="157"/>
  <c r="E77" i="157"/>
  <c r="E76" i="157"/>
  <c r="E74" i="157"/>
  <c r="E73" i="157"/>
  <c r="E72" i="157"/>
  <c r="E71" i="157"/>
  <c r="E70" i="157"/>
  <c r="E69" i="157"/>
  <c r="E68" i="157"/>
  <c r="E67" i="157"/>
  <c r="E66" i="157"/>
  <c r="E65" i="157"/>
  <c r="E64" i="157"/>
  <c r="E63" i="157"/>
  <c r="E62" i="157"/>
  <c r="E61" i="157"/>
  <c r="E60" i="157"/>
  <c r="E59" i="157"/>
  <c r="E58" i="157"/>
  <c r="E57" i="157"/>
  <c r="E56" i="157"/>
  <c r="E55" i="157"/>
  <c r="E54" i="157"/>
  <c r="E53" i="157"/>
  <c r="E52" i="157"/>
  <c r="E51" i="157"/>
  <c r="E50" i="157"/>
  <c r="E49" i="157"/>
  <c r="E48" i="157"/>
  <c r="E47" i="157"/>
  <c r="E46" i="157"/>
  <c r="E45" i="157"/>
  <c r="E44" i="157"/>
  <c r="E43" i="157"/>
  <c r="E42" i="157"/>
  <c r="E41" i="157"/>
  <c r="E40" i="157"/>
  <c r="E38" i="157"/>
  <c r="E37" i="157"/>
  <c r="E36" i="157"/>
  <c r="E35" i="157"/>
  <c r="E34" i="157"/>
  <c r="E33" i="157"/>
  <c r="E32" i="157"/>
  <c r="E31" i="157"/>
  <c r="E30" i="157"/>
  <c r="E29" i="157"/>
  <c r="E28" i="157"/>
  <c r="E27" i="157"/>
  <c r="E26" i="157"/>
  <c r="E25" i="157"/>
  <c r="E24" i="157"/>
  <c r="E23" i="157"/>
  <c r="E22" i="157"/>
  <c r="E21" i="157"/>
  <c r="E20" i="157"/>
  <c r="E19" i="157"/>
  <c r="E18" i="157"/>
  <c r="E17" i="157"/>
  <c r="E16" i="157"/>
  <c r="E15" i="157"/>
  <c r="E14" i="157"/>
  <c r="E13" i="157"/>
  <c r="E12" i="157"/>
  <c r="E11" i="157"/>
  <c r="E10" i="157"/>
  <c r="E9" i="157"/>
  <c r="D123" i="183"/>
  <c r="E116" i="183"/>
  <c r="E115" i="183"/>
  <c r="E114" i="183"/>
  <c r="E113" i="183"/>
  <c r="E123" i="183" s="1"/>
  <c r="D106" i="183"/>
  <c r="E105" i="183"/>
  <c r="E104" i="183"/>
  <c r="E103" i="183"/>
  <c r="E102" i="183"/>
  <c r="E101" i="183"/>
  <c r="E100" i="183"/>
  <c r="D97" i="183"/>
  <c r="E96" i="183"/>
  <c r="E95" i="183"/>
  <c r="D92" i="183"/>
  <c r="E91" i="183"/>
  <c r="E92" i="183" s="1"/>
  <c r="D85" i="183"/>
  <c r="E84" i="183"/>
  <c r="E83" i="183"/>
  <c r="E82" i="183"/>
  <c r="D76" i="183"/>
  <c r="E75" i="183"/>
  <c r="E76" i="183" s="1"/>
  <c r="D59" i="183"/>
  <c r="E58" i="183"/>
  <c r="E57" i="183"/>
  <c r="D48" i="183"/>
  <c r="E47" i="183"/>
  <c r="E46" i="183"/>
  <c r="E45" i="183"/>
  <c r="E44" i="183"/>
  <c r="E43" i="183"/>
  <c r="E38" i="183"/>
  <c r="E37" i="183"/>
  <c r="E36" i="183"/>
  <c r="D32" i="183"/>
  <c r="E31" i="183"/>
  <c r="E30" i="183"/>
  <c r="E29" i="183"/>
  <c r="E28" i="183"/>
  <c r="E27" i="183"/>
  <c r="E26" i="183"/>
  <c r="D20" i="183"/>
  <c r="E19" i="183"/>
  <c r="E18" i="183"/>
  <c r="E17" i="183"/>
  <c r="D14" i="183"/>
  <c r="E13" i="183"/>
  <c r="E12" i="183"/>
  <c r="E11" i="183"/>
  <c r="E10" i="183"/>
  <c r="E9" i="183"/>
  <c r="E8" i="183"/>
  <c r="E7" i="183"/>
  <c r="E6" i="183"/>
  <c r="E79" i="156"/>
  <c r="E78" i="156"/>
  <c r="E77" i="156"/>
  <c r="E76" i="156"/>
  <c r="E75" i="156"/>
  <c r="E74" i="156"/>
  <c r="E73" i="156"/>
  <c r="E72" i="156"/>
  <c r="E71" i="156"/>
  <c r="E70" i="156"/>
  <c r="E69" i="156"/>
  <c r="E68" i="156"/>
  <c r="E67" i="156"/>
  <c r="E66" i="156"/>
  <c r="E65" i="156"/>
  <c r="E64" i="156"/>
  <c r="E63" i="156"/>
  <c r="E62" i="156"/>
  <c r="E61" i="156"/>
  <c r="E60" i="156"/>
  <c r="E59" i="156"/>
  <c r="E58" i="156"/>
  <c r="E57" i="156"/>
  <c r="E56" i="156"/>
  <c r="E55" i="156"/>
  <c r="E54" i="156"/>
  <c r="E53" i="156"/>
  <c r="E52" i="156"/>
  <c r="E51" i="156"/>
  <c r="E47" i="156"/>
  <c r="E46" i="156"/>
  <c r="E44" i="156"/>
  <c r="E43" i="156"/>
  <c r="E42" i="156"/>
  <c r="E41" i="156"/>
  <c r="E40" i="156"/>
  <c r="E39" i="156"/>
  <c r="E38" i="156"/>
  <c r="E36" i="156"/>
  <c r="E35" i="156"/>
  <c r="E34" i="156"/>
  <c r="E33" i="156"/>
  <c r="E32" i="156"/>
  <c r="E31" i="156"/>
  <c r="E30" i="156"/>
  <c r="E29" i="156"/>
  <c r="E28" i="156"/>
  <c r="E27" i="156"/>
  <c r="E26" i="156"/>
  <c r="E25" i="156"/>
  <c r="E24" i="156"/>
  <c r="E23" i="156"/>
  <c r="E22" i="156"/>
  <c r="E21" i="156"/>
  <c r="E20" i="156"/>
  <c r="E19" i="156"/>
  <c r="E18" i="156"/>
  <c r="E17" i="156"/>
  <c r="E16" i="156"/>
  <c r="E15" i="156"/>
  <c r="E14" i="156"/>
  <c r="D13" i="156"/>
  <c r="D144" i="155" s="1"/>
  <c r="I16" i="170" s="1"/>
  <c r="E11" i="156"/>
  <c r="E10" i="156"/>
  <c r="E9" i="156"/>
  <c r="E8" i="156"/>
  <c r="E7" i="156"/>
  <c r="E6" i="156"/>
  <c r="E143" i="155"/>
  <c r="E142" i="155"/>
  <c r="D141" i="155"/>
  <c r="G14" i="169"/>
  <c r="E135" i="155"/>
  <c r="E133" i="155"/>
  <c r="E132" i="155"/>
  <c r="E131" i="155"/>
  <c r="E130" i="155"/>
  <c r="E129" i="155"/>
  <c r="E128" i="155"/>
  <c r="E127" i="155"/>
  <c r="E126" i="155"/>
  <c r="E125" i="155"/>
  <c r="D124" i="155"/>
  <c r="D123" i="155"/>
  <c r="D75" i="155" s="1"/>
  <c r="E122" i="155"/>
  <c r="E121" i="155"/>
  <c r="E115" i="155"/>
  <c r="E114" i="155"/>
  <c r="E113" i="155"/>
  <c r="E112" i="155"/>
  <c r="E111" i="155"/>
  <c r="E110" i="155"/>
  <c r="E109" i="155"/>
  <c r="E108" i="155"/>
  <c r="E107" i="155"/>
  <c r="E106" i="155"/>
  <c r="E105" i="155"/>
  <c r="E103" i="155"/>
  <c r="E102" i="155"/>
  <c r="E101" i="155"/>
  <c r="E100" i="155"/>
  <c r="E99" i="155"/>
  <c r="E98" i="155"/>
  <c r="E97" i="155"/>
  <c r="E95" i="155"/>
  <c r="E94" i="155"/>
  <c r="E93" i="155"/>
  <c r="E92" i="155"/>
  <c r="E91" i="155"/>
  <c r="E90" i="155"/>
  <c r="E89" i="155"/>
  <c r="E88" i="155"/>
  <c r="E87" i="155"/>
  <c r="E86" i="155"/>
  <c r="E85" i="155"/>
  <c r="E84" i="155"/>
  <c r="E83" i="155"/>
  <c r="E82" i="155"/>
  <c r="E81" i="155"/>
  <c r="E80" i="155"/>
  <c r="E79" i="155"/>
  <c r="E78" i="155"/>
  <c r="E77" i="155"/>
  <c r="E76" i="155"/>
  <c r="E71" i="155"/>
  <c r="E70" i="155"/>
  <c r="E69" i="155"/>
  <c r="E68" i="155"/>
  <c r="E67" i="155"/>
  <c r="E66" i="155"/>
  <c r="E65" i="155"/>
  <c r="E64" i="155"/>
  <c r="E63" i="155"/>
  <c r="E62" i="155"/>
  <c r="G9" i="169"/>
  <c r="E58" i="155"/>
  <c r="E57" i="155"/>
  <c r="E56" i="155"/>
  <c r="E55" i="155"/>
  <c r="E54" i="155"/>
  <c r="E53" i="155"/>
  <c r="E52" i="155"/>
  <c r="E51" i="155"/>
  <c r="E50" i="155"/>
  <c r="E49" i="155"/>
  <c r="E48" i="155"/>
  <c r="E47" i="155"/>
  <c r="D12" i="154"/>
  <c r="E41" i="155"/>
  <c r="E40" i="155"/>
  <c r="E39" i="155"/>
  <c r="E38" i="155"/>
  <c r="D37" i="155"/>
  <c r="E35" i="155"/>
  <c r="E34" i="155"/>
  <c r="D33" i="155"/>
  <c r="E32" i="155"/>
  <c r="D31" i="155"/>
  <c r="E30" i="155"/>
  <c r="E29" i="155"/>
  <c r="E28" i="155"/>
  <c r="E27" i="155"/>
  <c r="E26" i="155"/>
  <c r="D25" i="155"/>
  <c r="H11" i="170" s="1"/>
  <c r="E24" i="155"/>
  <c r="E23" i="155"/>
  <c r="E22" i="155"/>
  <c r="E21" i="155"/>
  <c r="E18" i="155"/>
  <c r="E17" i="155"/>
  <c r="D16" i="155"/>
  <c r="H10" i="170" s="1"/>
  <c r="E15" i="155"/>
  <c r="E14" i="155"/>
  <c r="E13" i="155"/>
  <c r="E12" i="155"/>
  <c r="E9" i="155"/>
  <c r="E8" i="155"/>
  <c r="E7" i="155"/>
  <c r="F26" i="134"/>
  <c r="F23" i="134"/>
  <c r="F20" i="134"/>
  <c r="F19" i="134"/>
  <c r="F17" i="134"/>
  <c r="F16" i="134"/>
  <c r="F15" i="134"/>
  <c r="F13" i="134"/>
  <c r="F12" i="134"/>
  <c r="F10" i="134"/>
  <c r="F9" i="134"/>
  <c r="F8" i="134"/>
  <c r="E7" i="134"/>
  <c r="E6" i="134"/>
  <c r="F20" i="155" l="1"/>
  <c r="F11" i="155"/>
  <c r="F14" i="134"/>
  <c r="G39" i="169"/>
  <c r="D20" i="170"/>
  <c r="D134" i="155"/>
  <c r="D146" i="155" s="1"/>
  <c r="D237" i="157"/>
  <c r="AL12" i="154" s="1"/>
  <c r="AL13" i="154" s="1"/>
  <c r="I20" i="170"/>
  <c r="I15" i="158"/>
  <c r="I17" i="170"/>
  <c r="Q12" i="154"/>
  <c r="I12" i="170"/>
  <c r="O38" i="171"/>
  <c r="I11" i="170"/>
  <c r="Y10" i="154"/>
  <c r="H24" i="170"/>
  <c r="E179" i="157"/>
  <c r="E46" i="155"/>
  <c r="E11" i="154"/>
  <c r="E5" i="134"/>
  <c r="D242" i="157"/>
  <c r="I32" i="158" s="1"/>
  <c r="G21" i="169"/>
  <c r="E21" i="134"/>
  <c r="E85" i="183"/>
  <c r="E106" i="183"/>
  <c r="G36" i="169"/>
  <c r="G44" i="169"/>
  <c r="D80" i="156"/>
  <c r="E40" i="183"/>
  <c r="E97" i="157"/>
  <c r="I13" i="158"/>
  <c r="G16" i="169"/>
  <c r="O36" i="171"/>
  <c r="O40" i="171"/>
  <c r="O34" i="171"/>
  <c r="L10" i="154"/>
  <c r="L11" i="154" s="1"/>
  <c r="O37" i="171"/>
  <c r="D169" i="157"/>
  <c r="D170" i="157" s="1"/>
  <c r="I23" i="170" s="1"/>
  <c r="AU7" i="154"/>
  <c r="H10" i="154"/>
  <c r="H11" i="154" s="1"/>
  <c r="O35" i="171"/>
  <c r="H12" i="154"/>
  <c r="D124" i="183"/>
  <c r="I37" i="158"/>
  <c r="U11" i="154"/>
  <c r="G11" i="169"/>
  <c r="O42" i="171"/>
  <c r="Q10" i="154"/>
  <c r="Q11" i="154" s="1"/>
  <c r="D36" i="155"/>
  <c r="D42" i="155" s="1"/>
  <c r="L12" i="154"/>
  <c r="E124" i="155"/>
  <c r="E141" i="155"/>
  <c r="E14" i="183"/>
  <c r="E20" i="183"/>
  <c r="E23" i="183" s="1"/>
  <c r="E32" i="183"/>
  <c r="E48" i="183"/>
  <c r="E59" i="183"/>
  <c r="E97" i="183"/>
  <c r="I20" i="158"/>
  <c r="I14" i="158"/>
  <c r="G8" i="169"/>
  <c r="G10" i="169"/>
  <c r="G15" i="169"/>
  <c r="O39" i="171"/>
  <c r="D13" i="154"/>
  <c r="I7" i="158" s="1"/>
  <c r="D191" i="157"/>
  <c r="D120" i="183"/>
  <c r="V8" i="154"/>
  <c r="V7" i="154"/>
  <c r="V6" i="154"/>
  <c r="M8" i="154"/>
  <c r="M7" i="154"/>
  <c r="M6" i="154"/>
  <c r="I8" i="154"/>
  <c r="I7" i="154"/>
  <c r="I6" i="154"/>
  <c r="E8" i="154"/>
  <c r="E9" i="154"/>
  <c r="E10" i="154"/>
  <c r="E7" i="154"/>
  <c r="E6" i="154"/>
  <c r="M15" i="153"/>
  <c r="I11" i="153"/>
  <c r="I10" i="153"/>
  <c r="I9" i="153"/>
  <c r="L55" i="166"/>
  <c r="N55" i="166" s="1"/>
  <c r="L62" i="166"/>
  <c r="N62" i="166" s="1"/>
  <c r="L63" i="166"/>
  <c r="N63" i="166" s="1"/>
  <c r="L84" i="166"/>
  <c r="N84" i="166" s="1"/>
  <c r="L91" i="166"/>
  <c r="N91" i="166" s="1"/>
  <c r="L94" i="166"/>
  <c r="N94" i="166" s="1"/>
  <c r="L49" i="166"/>
  <c r="N49" i="166" s="1"/>
  <c r="L44" i="166"/>
  <c r="N44" i="166" s="1"/>
  <c r="L32" i="166"/>
  <c r="N32" i="166" s="1"/>
  <c r="L26" i="166"/>
  <c r="N26" i="166" s="1"/>
  <c r="L21" i="166"/>
  <c r="N21" i="166" s="1"/>
  <c r="L10" i="166"/>
  <c r="N10" i="166" s="1"/>
  <c r="K93" i="166"/>
  <c r="I24" i="167"/>
  <c r="I22" i="167" s="1"/>
  <c r="I21" i="167"/>
  <c r="I19" i="167" s="1"/>
  <c r="I18" i="167"/>
  <c r="I16" i="167"/>
  <c r="I14" i="167"/>
  <c r="O51" i="171" l="1"/>
  <c r="Q13" i="154"/>
  <c r="I10" i="158" s="1"/>
  <c r="AD12" i="154"/>
  <c r="AD13" i="154" s="1"/>
  <c r="E27" i="134"/>
  <c r="O46" i="171"/>
  <c r="G33" i="169"/>
  <c r="Y9" i="154"/>
  <c r="AU6" i="154"/>
  <c r="AW6" i="154" s="1"/>
  <c r="H13" i="154"/>
  <c r="F9" i="169"/>
  <c r="G31" i="169"/>
  <c r="Y12" i="154"/>
  <c r="I30" i="158"/>
  <c r="O45" i="171"/>
  <c r="L13" i="154"/>
  <c r="F10" i="169"/>
  <c r="O41" i="171"/>
  <c r="U12" i="154"/>
  <c r="U13" i="154" s="1"/>
  <c r="D229" i="157"/>
  <c r="D230" i="157" s="1"/>
  <c r="D26" i="148" s="1"/>
  <c r="G35" i="169"/>
  <c r="I34" i="158"/>
  <c r="I19" i="158"/>
  <c r="F14" i="169"/>
  <c r="I11" i="158"/>
  <c r="AU10" i="154"/>
  <c r="K119" i="166"/>
  <c r="V55" i="150"/>
  <c r="V56" i="150"/>
  <c r="V58" i="150"/>
  <c r="V59" i="150"/>
  <c r="V60" i="150"/>
  <c r="V53" i="150"/>
  <c r="V48" i="150"/>
  <c r="V24" i="150"/>
  <c r="V26" i="150"/>
  <c r="V27" i="150"/>
  <c r="V29" i="150"/>
  <c r="V30" i="150"/>
  <c r="V31" i="150"/>
  <c r="V32" i="150"/>
  <c r="V33" i="150"/>
  <c r="V35" i="150"/>
  <c r="V36" i="150"/>
  <c r="V37" i="150"/>
  <c r="V23" i="150"/>
  <c r="V20" i="150"/>
  <c r="V13" i="150"/>
  <c r="U46" i="150"/>
  <c r="U13" i="153" s="1"/>
  <c r="U34" i="150"/>
  <c r="U21" i="150"/>
  <c r="U17" i="150"/>
  <c r="U12" i="150"/>
  <c r="P54" i="150"/>
  <c r="P55" i="150"/>
  <c r="P56" i="150"/>
  <c r="L94" i="149" s="1"/>
  <c r="P57" i="150"/>
  <c r="L93" i="149" s="1"/>
  <c r="P53" i="150"/>
  <c r="P48" i="150"/>
  <c r="L78" i="149" s="1"/>
  <c r="P47" i="150"/>
  <c r="L77" i="149" s="1"/>
  <c r="B20" i="170" s="1"/>
  <c r="P43" i="150"/>
  <c r="P42" i="150"/>
  <c r="P41" i="150"/>
  <c r="P40" i="150" s="1"/>
  <c r="P37" i="150"/>
  <c r="P34" i="150" s="1"/>
  <c r="P27" i="150"/>
  <c r="L51" i="149" s="1"/>
  <c r="P51" i="149" s="1"/>
  <c r="P28" i="150"/>
  <c r="L52" i="149" s="1"/>
  <c r="P29" i="150"/>
  <c r="L53" i="149" s="1"/>
  <c r="P53" i="149" s="1"/>
  <c r="P30" i="150"/>
  <c r="P31" i="150"/>
  <c r="P32" i="150"/>
  <c r="P33" i="150"/>
  <c r="L57" i="149" s="1"/>
  <c r="P57" i="149" s="1"/>
  <c r="P26" i="150"/>
  <c r="P25" i="150"/>
  <c r="L47" i="149" s="1"/>
  <c r="P24" i="150"/>
  <c r="P23" i="150"/>
  <c r="L45" i="149" s="1"/>
  <c r="P16" i="150"/>
  <c r="L27" i="149" s="1"/>
  <c r="B23" i="170" s="1"/>
  <c r="P14" i="150"/>
  <c r="L21" i="149" s="1"/>
  <c r="P21" i="149" s="1"/>
  <c r="P13" i="150"/>
  <c r="P12" i="150" s="1"/>
  <c r="M54" i="150"/>
  <c r="M56" i="150"/>
  <c r="M53" i="150"/>
  <c r="M48" i="150"/>
  <c r="M26" i="150"/>
  <c r="M27" i="150"/>
  <c r="M29" i="150"/>
  <c r="M25" i="150"/>
  <c r="M13" i="150"/>
  <c r="L46" i="150"/>
  <c r="U11" i="153" s="1"/>
  <c r="L40" i="150"/>
  <c r="L34" i="150"/>
  <c r="L15" i="150"/>
  <c r="L12" i="150"/>
  <c r="I54" i="150"/>
  <c r="I56" i="150"/>
  <c r="I53" i="150"/>
  <c r="I48" i="150"/>
  <c r="I41" i="150"/>
  <c r="I16" i="150"/>
  <c r="I14" i="150"/>
  <c r="I13" i="150"/>
  <c r="H46" i="150"/>
  <c r="U10" i="153" s="1"/>
  <c r="H40" i="150"/>
  <c r="H34" i="150"/>
  <c r="H21" i="150"/>
  <c r="H15" i="150"/>
  <c r="H12" i="150"/>
  <c r="E54" i="150"/>
  <c r="E56" i="150"/>
  <c r="E53" i="150"/>
  <c r="E47" i="150"/>
  <c r="E29" i="150"/>
  <c r="E30" i="150"/>
  <c r="E31" i="150"/>
  <c r="E32" i="150"/>
  <c r="E33" i="150"/>
  <c r="E16" i="150"/>
  <c r="E13" i="150"/>
  <c r="D46" i="150"/>
  <c r="U9" i="153" s="1"/>
  <c r="D34" i="150"/>
  <c r="D21" i="150"/>
  <c r="D15" i="150"/>
  <c r="D12" i="150"/>
  <c r="M54" i="149"/>
  <c r="M50" i="149"/>
  <c r="M48" i="149"/>
  <c r="H80" i="149"/>
  <c r="H79" i="149" s="1"/>
  <c r="E90" i="149"/>
  <c r="E85" i="149"/>
  <c r="E82" i="149"/>
  <c r="E83" i="149"/>
  <c r="E81" i="149"/>
  <c r="E78" i="149"/>
  <c r="E77" i="149"/>
  <c r="E73" i="149"/>
  <c r="E72" i="149"/>
  <c r="E69" i="149"/>
  <c r="E68" i="149"/>
  <c r="E60" i="149"/>
  <c r="E53" i="149"/>
  <c r="E54" i="149"/>
  <c r="E55" i="149"/>
  <c r="E56" i="149"/>
  <c r="E57" i="149"/>
  <c r="E46" i="149"/>
  <c r="E47" i="149"/>
  <c r="E48" i="149"/>
  <c r="E49" i="149"/>
  <c r="E50" i="149"/>
  <c r="E51" i="149"/>
  <c r="E52" i="149"/>
  <c r="E45" i="149"/>
  <c r="E40" i="149"/>
  <c r="E41" i="149"/>
  <c r="E42" i="149"/>
  <c r="E39" i="149"/>
  <c r="E37" i="149"/>
  <c r="E36" i="149"/>
  <c r="E27" i="149"/>
  <c r="E20" i="149"/>
  <c r="P90" i="149"/>
  <c r="D24" i="158" s="1"/>
  <c r="P89" i="149"/>
  <c r="P88" i="149"/>
  <c r="P87" i="149"/>
  <c r="P86" i="149"/>
  <c r="P85" i="149"/>
  <c r="D44" i="158" s="1"/>
  <c r="P83" i="149"/>
  <c r="P82" i="149"/>
  <c r="P81" i="149"/>
  <c r="P73" i="149"/>
  <c r="P72" i="149"/>
  <c r="P71" i="149"/>
  <c r="P68" i="149"/>
  <c r="P67" i="149"/>
  <c r="P63" i="149"/>
  <c r="P62" i="149"/>
  <c r="P60" i="149"/>
  <c r="P56" i="149"/>
  <c r="P55" i="149"/>
  <c r="P54" i="149"/>
  <c r="P50" i="149"/>
  <c r="P49" i="149"/>
  <c r="P48" i="149"/>
  <c r="P44" i="149"/>
  <c r="P41" i="149"/>
  <c r="P40" i="149"/>
  <c r="P39" i="149"/>
  <c r="P37" i="149"/>
  <c r="P36" i="149"/>
  <c r="P33" i="149"/>
  <c r="P32" i="149"/>
  <c r="P23" i="149"/>
  <c r="L79" i="149"/>
  <c r="L30" i="149"/>
  <c r="L8" i="149"/>
  <c r="H94" i="149"/>
  <c r="H93" i="149"/>
  <c r="H76" i="149"/>
  <c r="O30" i="171" s="1"/>
  <c r="H70" i="149"/>
  <c r="H66" i="149"/>
  <c r="H61" i="149"/>
  <c r="H58" i="149" s="1"/>
  <c r="C24" i="170" s="1"/>
  <c r="H52" i="149"/>
  <c r="H47" i="149"/>
  <c r="H46" i="149"/>
  <c r="P46" i="149" s="1"/>
  <c r="H45" i="149"/>
  <c r="H42" i="149"/>
  <c r="H30" i="149" s="1"/>
  <c r="C10" i="170" s="1"/>
  <c r="H22" i="149"/>
  <c r="H20" i="149"/>
  <c r="H8" i="149"/>
  <c r="D94" i="149"/>
  <c r="D93" i="149"/>
  <c r="D84" i="149"/>
  <c r="C45" i="169" s="1"/>
  <c r="D80" i="149"/>
  <c r="D76" i="149"/>
  <c r="D70" i="149"/>
  <c r="D66" i="149"/>
  <c r="D12" i="170" s="1"/>
  <c r="D58" i="149"/>
  <c r="D24" i="170" s="1"/>
  <c r="D43" i="149"/>
  <c r="D11" i="170" s="1"/>
  <c r="D38" i="149"/>
  <c r="P38" i="149" s="1"/>
  <c r="D35" i="149"/>
  <c r="D31" i="149"/>
  <c r="D9" i="185" s="1"/>
  <c r="E14" i="148"/>
  <c r="E24" i="148"/>
  <c r="E29" i="148"/>
  <c r="E31" i="148"/>
  <c r="D37" i="148"/>
  <c r="D36" i="148"/>
  <c r="D35" i="148"/>
  <c r="D34" i="148"/>
  <c r="D28" i="148"/>
  <c r="D22" i="148"/>
  <c r="D21" i="148"/>
  <c r="B33" i="169" l="1"/>
  <c r="B25" i="170"/>
  <c r="Q9" i="185"/>
  <c r="P15" i="150"/>
  <c r="Y11" i="154"/>
  <c r="O47" i="171" s="1"/>
  <c r="D34" i="149"/>
  <c r="P34" i="149" s="1"/>
  <c r="H7" i="149"/>
  <c r="P70" i="149"/>
  <c r="D12" i="148" s="1"/>
  <c r="L44" i="150"/>
  <c r="L50" i="150" s="1"/>
  <c r="L45" i="150" s="1"/>
  <c r="L51" i="150" s="1"/>
  <c r="L61" i="149"/>
  <c r="L58" i="149" s="1"/>
  <c r="P80" i="149"/>
  <c r="D45" i="158" s="1"/>
  <c r="O21" i="171"/>
  <c r="C31" i="169"/>
  <c r="C10" i="169"/>
  <c r="O10" i="171"/>
  <c r="P10" i="171" s="1"/>
  <c r="O11" i="171"/>
  <c r="C11" i="169"/>
  <c r="U15" i="153"/>
  <c r="O29" i="171"/>
  <c r="B9" i="169"/>
  <c r="P31" i="149"/>
  <c r="P35" i="149"/>
  <c r="U44" i="150"/>
  <c r="P13" i="153" s="1"/>
  <c r="I33" i="158"/>
  <c r="AH12" i="154"/>
  <c r="O48" i="171"/>
  <c r="AU9" i="154"/>
  <c r="C32" i="169"/>
  <c r="O22" i="171"/>
  <c r="O23" i="171"/>
  <c r="C33" i="169"/>
  <c r="D79" i="149"/>
  <c r="P42" i="149"/>
  <c r="D13" i="185" s="1"/>
  <c r="Q13" i="185" s="1"/>
  <c r="O14" i="171"/>
  <c r="P84" i="149"/>
  <c r="D21" i="158"/>
  <c r="I56" i="158"/>
  <c r="I55" i="158" s="1"/>
  <c r="I9" i="158"/>
  <c r="I8" i="158"/>
  <c r="H44" i="150"/>
  <c r="O24" i="171"/>
  <c r="P52" i="149"/>
  <c r="P47" i="149"/>
  <c r="P94" i="149"/>
  <c r="P78" i="149"/>
  <c r="D42" i="158" s="1"/>
  <c r="D41" i="158" s="1"/>
  <c r="B43" i="169"/>
  <c r="P46" i="150"/>
  <c r="L76" i="149"/>
  <c r="O31" i="171" s="1"/>
  <c r="U12" i="153"/>
  <c r="P77" i="149"/>
  <c r="D20" i="158" s="1"/>
  <c r="D19" i="158" s="1"/>
  <c r="B21" i="169"/>
  <c r="D44" i="150"/>
  <c r="P9" i="153" s="1"/>
  <c r="H75" i="149"/>
  <c r="H91" i="149"/>
  <c r="D32" i="148"/>
  <c r="D38" i="148"/>
  <c r="P11" i="149"/>
  <c r="L20" i="149"/>
  <c r="L7" i="149" s="1"/>
  <c r="O17" i="171" s="1"/>
  <c r="P93" i="149"/>
  <c r="H43" i="149"/>
  <c r="C11" i="170" s="1"/>
  <c r="P45" i="149"/>
  <c r="L69" i="149"/>
  <c r="P21" i="150"/>
  <c r="L22" i="149"/>
  <c r="P27" i="149"/>
  <c r="P22" i="149" s="1"/>
  <c r="L43" i="149"/>
  <c r="B122" i="183"/>
  <c r="B123" i="183"/>
  <c r="O13" i="171" l="1"/>
  <c r="B32" i="169"/>
  <c r="B24" i="170"/>
  <c r="P61" i="149"/>
  <c r="Y13" i="154"/>
  <c r="D27" i="148"/>
  <c r="D25" i="148" s="1"/>
  <c r="I31" i="158"/>
  <c r="I39" i="158" s="1"/>
  <c r="I46" i="158" s="1"/>
  <c r="F32" i="169"/>
  <c r="P11" i="153"/>
  <c r="P79" i="149"/>
  <c r="D16" i="148" s="1"/>
  <c r="D32" i="158"/>
  <c r="D30" i="149"/>
  <c r="U50" i="150"/>
  <c r="Y15" i="153"/>
  <c r="O28" i="171"/>
  <c r="D91" i="149"/>
  <c r="D59" i="158"/>
  <c r="AU11" i="154"/>
  <c r="D23" i="148"/>
  <c r="D20" i="148" s="1"/>
  <c r="AH13" i="154"/>
  <c r="D75" i="149"/>
  <c r="L91" i="149"/>
  <c r="P76" i="149"/>
  <c r="D15" i="148" s="1"/>
  <c r="L75" i="149"/>
  <c r="P20" i="149"/>
  <c r="H50" i="150"/>
  <c r="H45" i="150" s="1"/>
  <c r="H51" i="150" s="1"/>
  <c r="P10" i="153"/>
  <c r="H74" i="149"/>
  <c r="H92" i="149" s="1"/>
  <c r="O15" i="171"/>
  <c r="U14" i="153"/>
  <c r="O18" i="171"/>
  <c r="B10" i="169"/>
  <c r="D50" i="150"/>
  <c r="P44" i="150"/>
  <c r="D7" i="148"/>
  <c r="D30" i="158"/>
  <c r="B31" i="169"/>
  <c r="O25" i="171"/>
  <c r="D56" i="158"/>
  <c r="D57" i="158"/>
  <c r="D30" i="148"/>
  <c r="P43" i="149"/>
  <c r="L66" i="149"/>
  <c r="P69" i="149"/>
  <c r="P66" i="149" s="1"/>
  <c r="B124" i="183"/>
  <c r="C367" i="184"/>
  <c r="C365" i="184"/>
  <c r="I28" i="170"/>
  <c r="I25" i="170"/>
  <c r="D62" i="170"/>
  <c r="U45" i="150" l="1"/>
  <c r="U51" i="150" s="1"/>
  <c r="O9" i="171"/>
  <c r="D10" i="170"/>
  <c r="D17" i="148"/>
  <c r="P58" i="149"/>
  <c r="D10" i="148" s="1"/>
  <c r="D12" i="185"/>
  <c r="I52" i="158"/>
  <c r="P30" i="149"/>
  <c r="C9" i="169"/>
  <c r="P91" i="149"/>
  <c r="D11" i="148"/>
  <c r="D10" i="158"/>
  <c r="O43" i="171"/>
  <c r="G17" i="169"/>
  <c r="Y16" i="153"/>
  <c r="L74" i="149"/>
  <c r="L92" i="149" s="1"/>
  <c r="O19" i="171"/>
  <c r="B11" i="169"/>
  <c r="P75" i="149"/>
  <c r="P50" i="150"/>
  <c r="P12" i="153"/>
  <c r="D45" i="150"/>
  <c r="P45" i="150" s="1"/>
  <c r="P51" i="150" s="1"/>
  <c r="U16" i="153"/>
  <c r="D9" i="148"/>
  <c r="D9" i="158"/>
  <c r="D55" i="158"/>
  <c r="I16" i="158"/>
  <c r="AQ12" i="154"/>
  <c r="AU12" i="154" s="1"/>
  <c r="AU13" i="154" s="1"/>
  <c r="D33" i="148"/>
  <c r="D39" i="148" s="1"/>
  <c r="D31" i="158" l="1"/>
  <c r="D39" i="158" s="1"/>
  <c r="I40" i="158" s="1"/>
  <c r="Q12" i="185"/>
  <c r="D15" i="185"/>
  <c r="D8" i="158"/>
  <c r="D8" i="148"/>
  <c r="I17" i="158"/>
  <c r="I25" i="158" s="1"/>
  <c r="P14" i="153"/>
  <c r="D51" i="150"/>
  <c r="AQ13" i="154"/>
  <c r="D47" i="171"/>
  <c r="M20" i="171"/>
  <c r="D52" i="158" l="1"/>
  <c r="D16" i="185"/>
  <c r="Q15" i="185"/>
  <c r="I51" i="158"/>
  <c r="I53" i="158" s="1"/>
  <c r="I61" i="158" s="1"/>
  <c r="H64" i="169" s="1"/>
  <c r="B472" i="184"/>
  <c r="B462" i="184"/>
  <c r="C437" i="184"/>
  <c r="C447" i="184"/>
  <c r="C472" i="184"/>
  <c r="D471" i="184"/>
  <c r="D470" i="184"/>
  <c r="D469" i="184"/>
  <c r="D468" i="184"/>
  <c r="D467" i="184"/>
  <c r="C462" i="184"/>
  <c r="D461" i="184"/>
  <c r="D460" i="184"/>
  <c r="D459" i="184"/>
  <c r="D458" i="184"/>
  <c r="Q16" i="185" l="1"/>
  <c r="Q27" i="185" s="1"/>
  <c r="D27" i="185"/>
  <c r="D462" i="184"/>
  <c r="D472" i="184"/>
  <c r="V54" i="150"/>
  <c r="G10" i="170"/>
  <c r="G54" i="170"/>
  <c r="G24" i="170" s="1"/>
  <c r="G9" i="170" l="1"/>
  <c r="C72" i="170" l="1"/>
  <c r="I47" i="171" l="1"/>
  <c r="H47" i="171"/>
  <c r="F47" i="171"/>
  <c r="AG10" i="153" l="1"/>
  <c r="AZ8" i="154"/>
  <c r="AJ10" i="153" l="1"/>
  <c r="F6" i="134"/>
  <c r="F7" i="134"/>
  <c r="Z7" i="154" l="1"/>
  <c r="H43" i="158"/>
  <c r="J43" i="158" s="1"/>
  <c r="B37" i="155"/>
  <c r="B46" i="155"/>
  <c r="E61" i="155"/>
  <c r="C35" i="148"/>
  <c r="E35" i="148" s="1"/>
  <c r="B163" i="157"/>
  <c r="F22" i="134"/>
  <c r="F25" i="134"/>
  <c r="F24" i="134"/>
  <c r="Q82" i="149"/>
  <c r="Q81" i="149"/>
  <c r="E117" i="183" l="1"/>
  <c r="E119" i="183" s="1"/>
  <c r="E80" i="149"/>
  <c r="E13" i="154"/>
  <c r="E12" i="154"/>
  <c r="E16" i="155"/>
  <c r="V47" i="150"/>
  <c r="M47" i="150"/>
  <c r="E48" i="150"/>
  <c r="E23" i="150"/>
  <c r="E124" i="183" l="1"/>
  <c r="I47" i="150"/>
  <c r="E37" i="155"/>
  <c r="E120" i="183"/>
  <c r="E28" i="150"/>
  <c r="J106" i="166"/>
  <c r="I55" i="166"/>
  <c r="I44" i="166"/>
  <c r="I32" i="166"/>
  <c r="I21" i="166"/>
  <c r="I10" i="166"/>
  <c r="I106" i="166" l="1"/>
  <c r="L106" i="166"/>
  <c r="N106" i="166" s="1"/>
  <c r="E437" i="184"/>
  <c r="C438" i="184"/>
  <c r="C435" i="184"/>
  <c r="D449" i="184"/>
  <c r="B449" i="184"/>
  <c r="E448" i="184"/>
  <c r="E446" i="184"/>
  <c r="E445" i="184"/>
  <c r="E444" i="184"/>
  <c r="E443" i="184"/>
  <c r="E442" i="184"/>
  <c r="D439" i="184"/>
  <c r="E436" i="184"/>
  <c r="C449" i="184" l="1"/>
  <c r="C439" i="184"/>
  <c r="E438" i="184"/>
  <c r="B439" i="184"/>
  <c r="E447" i="184"/>
  <c r="E449" i="184" s="1"/>
  <c r="E435" i="184"/>
  <c r="E439" i="184" l="1"/>
  <c r="B121" i="184" l="1"/>
  <c r="C131" i="184"/>
  <c r="C121" i="184" s="1"/>
  <c r="D131" i="184"/>
  <c r="D128" i="184"/>
  <c r="D127" i="184"/>
  <c r="D130" i="184"/>
  <c r="D118" i="184"/>
  <c r="D121" i="184" l="1"/>
  <c r="F127" i="184"/>
  <c r="J104" i="166" l="1"/>
  <c r="L104" i="166" s="1"/>
  <c r="N104" i="166" s="1"/>
  <c r="H117" i="166"/>
  <c r="I117" i="166"/>
  <c r="H93" i="166"/>
  <c r="I93" i="166"/>
  <c r="J92" i="166"/>
  <c r="J86" i="166"/>
  <c r="L86" i="166" s="1"/>
  <c r="N86" i="166" s="1"/>
  <c r="J87" i="166"/>
  <c r="L87" i="166" s="1"/>
  <c r="N87" i="166" s="1"/>
  <c r="J88" i="166"/>
  <c r="L88" i="166" s="1"/>
  <c r="N88" i="166" s="1"/>
  <c r="I90" i="166"/>
  <c r="H83" i="166"/>
  <c r="I83" i="166"/>
  <c r="H70" i="166"/>
  <c r="I70" i="166"/>
  <c r="J74" i="166"/>
  <c r="L74" i="166" s="1"/>
  <c r="N74" i="166" s="1"/>
  <c r="J75" i="166"/>
  <c r="L75" i="166" s="1"/>
  <c r="N75" i="166" s="1"/>
  <c r="J76" i="166"/>
  <c r="L76" i="166" s="1"/>
  <c r="N76" i="166" s="1"/>
  <c r="J79" i="166"/>
  <c r="L79" i="166" s="1"/>
  <c r="N79" i="166" s="1"/>
  <c r="J81" i="166"/>
  <c r="L81" i="166" s="1"/>
  <c r="N81" i="166" s="1"/>
  <c r="J64" i="166"/>
  <c r="L64" i="166" s="1"/>
  <c r="N64" i="166" s="1"/>
  <c r="J53" i="166"/>
  <c r="L53" i="166" s="1"/>
  <c r="N53" i="166" s="1"/>
  <c r="J56" i="166"/>
  <c r="L56" i="166" s="1"/>
  <c r="N56" i="166" s="1"/>
  <c r="J57" i="166"/>
  <c r="L57" i="166" s="1"/>
  <c r="N57" i="166" s="1"/>
  <c r="I61" i="166"/>
  <c r="J45" i="166"/>
  <c r="L45" i="166" s="1"/>
  <c r="N45" i="166" s="1"/>
  <c r="I48" i="166"/>
  <c r="I36" i="166"/>
  <c r="J33" i="166"/>
  <c r="L33" i="166" s="1"/>
  <c r="N33" i="166" s="1"/>
  <c r="I25" i="166"/>
  <c r="J22" i="166"/>
  <c r="L22" i="166" s="1"/>
  <c r="N22" i="166" s="1"/>
  <c r="I14" i="166"/>
  <c r="J11" i="166"/>
  <c r="L11" i="166" s="1"/>
  <c r="N11" i="166" s="1"/>
  <c r="G78" i="167"/>
  <c r="I78" i="167" s="1"/>
  <c r="K78" i="167" s="1"/>
  <c r="G79" i="167"/>
  <c r="I79" i="167" s="1"/>
  <c r="K79" i="167" s="1"/>
  <c r="G80" i="167"/>
  <c r="I80" i="167" s="1"/>
  <c r="K80" i="167" s="1"/>
  <c r="G81" i="167"/>
  <c r="I81" i="167" s="1"/>
  <c r="K81" i="167" s="1"/>
  <c r="G77" i="167"/>
  <c r="I77" i="167" s="1"/>
  <c r="K77" i="167" s="1"/>
  <c r="F76" i="167"/>
  <c r="E76" i="167"/>
  <c r="G68" i="167"/>
  <c r="I68" i="167" s="1"/>
  <c r="K68" i="167" s="1"/>
  <c r="G71" i="167"/>
  <c r="I71" i="167" s="1"/>
  <c r="K71" i="167" s="1"/>
  <c r="F25" i="167"/>
  <c r="G27" i="167"/>
  <c r="I27" i="167" s="1"/>
  <c r="K27" i="167" s="1"/>
  <c r="G26" i="167"/>
  <c r="I26" i="167" s="1"/>
  <c r="K26" i="167" s="1"/>
  <c r="F7" i="167"/>
  <c r="G24" i="167"/>
  <c r="G22" i="167" s="1"/>
  <c r="G21" i="167"/>
  <c r="G19" i="167" s="1"/>
  <c r="G18" i="167"/>
  <c r="G16" i="167"/>
  <c r="G14" i="167"/>
  <c r="K76" i="167" l="1"/>
  <c r="D13" i="149" s="1"/>
  <c r="I76" i="167"/>
  <c r="C13" i="149" s="1"/>
  <c r="O13" i="149" s="1"/>
  <c r="J93" i="166"/>
  <c r="L92" i="166"/>
  <c r="N92" i="166" s="1"/>
  <c r="F6" i="167"/>
  <c r="F5" i="167" s="1"/>
  <c r="F93" i="167" s="1"/>
  <c r="I78" i="166"/>
  <c r="G76" i="167"/>
  <c r="C424" i="184"/>
  <c r="B424" i="184"/>
  <c r="D423" i="184"/>
  <c r="E422" i="184"/>
  <c r="D422" i="184"/>
  <c r="D421" i="184"/>
  <c r="D420" i="184"/>
  <c r="D419" i="184"/>
  <c r="C414" i="184"/>
  <c r="B414" i="184"/>
  <c r="D413" i="184"/>
  <c r="D412" i="184"/>
  <c r="D411" i="184"/>
  <c r="D410" i="184"/>
  <c r="C401" i="184"/>
  <c r="B401" i="184"/>
  <c r="D400" i="184"/>
  <c r="E399" i="184"/>
  <c r="D399" i="184"/>
  <c r="D398" i="184"/>
  <c r="D397" i="184"/>
  <c r="D396" i="184"/>
  <c r="C391" i="184"/>
  <c r="B391" i="184"/>
  <c r="D390" i="184"/>
  <c r="D389" i="184"/>
  <c r="D388" i="184"/>
  <c r="D387" i="184"/>
  <c r="D379" i="184"/>
  <c r="B379" i="184"/>
  <c r="C378" i="184"/>
  <c r="E378" i="184" s="1"/>
  <c r="C377" i="184"/>
  <c r="E376" i="184"/>
  <c r="E375" i="184"/>
  <c r="F374" i="184"/>
  <c r="E374" i="184"/>
  <c r="E373" i="184"/>
  <c r="E372" i="184"/>
  <c r="D369" i="184"/>
  <c r="C368" i="184"/>
  <c r="B368" i="184"/>
  <c r="E367" i="184"/>
  <c r="E366" i="184"/>
  <c r="D357" i="184"/>
  <c r="C357" i="184"/>
  <c r="B357" i="184"/>
  <c r="E356" i="184"/>
  <c r="E355" i="184"/>
  <c r="E354" i="184"/>
  <c r="E353" i="184"/>
  <c r="E352" i="184"/>
  <c r="D349" i="184"/>
  <c r="C349" i="184"/>
  <c r="B349" i="184"/>
  <c r="E348" i="184"/>
  <c r="E347" i="184"/>
  <c r="E346" i="184"/>
  <c r="D336" i="184"/>
  <c r="C336" i="184"/>
  <c r="B336" i="184"/>
  <c r="E335" i="184"/>
  <c r="E334" i="184"/>
  <c r="E333" i="184"/>
  <c r="E332" i="184"/>
  <c r="E331" i="184"/>
  <c r="D328" i="184"/>
  <c r="C328" i="184"/>
  <c r="B327" i="184"/>
  <c r="B328" i="184" s="1"/>
  <c r="E326" i="184"/>
  <c r="E325" i="184"/>
  <c r="B315" i="184"/>
  <c r="D314" i="184"/>
  <c r="E313" i="184"/>
  <c r="D313" i="184"/>
  <c r="D312" i="184"/>
  <c r="C311" i="184"/>
  <c r="C315" i="184" s="1"/>
  <c r="D310" i="184"/>
  <c r="B305" i="184"/>
  <c r="D303" i="184"/>
  <c r="D302" i="184"/>
  <c r="D301" i="184"/>
  <c r="C293" i="184"/>
  <c r="B293" i="184"/>
  <c r="E292" i="184"/>
  <c r="F291" i="184"/>
  <c r="E291" i="184"/>
  <c r="E290" i="184"/>
  <c r="D289" i="184"/>
  <c r="D293" i="184" s="1"/>
  <c r="E288" i="184"/>
  <c r="E287" i="184"/>
  <c r="E286" i="184"/>
  <c r="B283" i="184"/>
  <c r="E280" i="184"/>
  <c r="E279" i="184"/>
  <c r="C271" i="184"/>
  <c r="B271" i="184"/>
  <c r="E270" i="184"/>
  <c r="E269" i="184"/>
  <c r="F268" i="184"/>
  <c r="E268" i="184"/>
  <c r="E267" i="184"/>
  <c r="D266" i="184"/>
  <c r="D271" i="184" s="1"/>
  <c r="E265" i="184"/>
  <c r="E264" i="184"/>
  <c r="E263" i="184"/>
  <c r="C260" i="184"/>
  <c r="B260" i="184"/>
  <c r="E258" i="184"/>
  <c r="E257" i="184"/>
  <c r="E256" i="184"/>
  <c r="C246" i="184"/>
  <c r="B246" i="184"/>
  <c r="F245" i="184"/>
  <c r="E245" i="184"/>
  <c r="E244" i="184"/>
  <c r="E243" i="184"/>
  <c r="D242" i="184"/>
  <c r="D246" i="184" s="1"/>
  <c r="E241" i="184"/>
  <c r="E240" i="184"/>
  <c r="E239" i="184"/>
  <c r="C236" i="184"/>
  <c r="B236" i="184"/>
  <c r="E234" i="184"/>
  <c r="E233" i="184"/>
  <c r="E232" i="184"/>
  <c r="C177" i="184"/>
  <c r="B177" i="184"/>
  <c r="E175" i="184"/>
  <c r="E174" i="184"/>
  <c r="F173" i="184"/>
  <c r="E173" i="184"/>
  <c r="E172" i="184"/>
  <c r="E171" i="184"/>
  <c r="E170" i="184"/>
  <c r="E169" i="184"/>
  <c r="D166" i="184"/>
  <c r="B166" i="184"/>
  <c r="E165" i="184"/>
  <c r="E164" i="184"/>
  <c r="E163" i="184"/>
  <c r="E162" i="184"/>
  <c r="D154" i="184"/>
  <c r="C154" i="184"/>
  <c r="B154" i="184"/>
  <c r="F153" i="184"/>
  <c r="F152" i="184"/>
  <c r="E151" i="184"/>
  <c r="E154" i="184" s="1"/>
  <c r="F150" i="184"/>
  <c r="F149" i="184"/>
  <c r="F148" i="184"/>
  <c r="C145" i="184"/>
  <c r="B145" i="184"/>
  <c r="E143" i="184"/>
  <c r="E145" i="184" s="1"/>
  <c r="F142" i="184"/>
  <c r="C132" i="184"/>
  <c r="B132" i="184"/>
  <c r="E131" i="184"/>
  <c r="F130" i="184"/>
  <c r="E130" i="184"/>
  <c r="E129" i="184"/>
  <c r="E127" i="184"/>
  <c r="E126" i="184"/>
  <c r="E125" i="184"/>
  <c r="C122" i="184"/>
  <c r="B122" i="184"/>
  <c r="E120" i="184"/>
  <c r="E119" i="184"/>
  <c r="E118" i="184"/>
  <c r="C110" i="184"/>
  <c r="B110" i="184"/>
  <c r="E109" i="184"/>
  <c r="E108" i="184"/>
  <c r="F107" i="184"/>
  <c r="E107" i="184"/>
  <c r="E106" i="184"/>
  <c r="D105" i="184"/>
  <c r="D110" i="184" s="1"/>
  <c r="E104" i="184"/>
  <c r="E103" i="184"/>
  <c r="E102" i="184"/>
  <c r="B99" i="184"/>
  <c r="E96" i="184"/>
  <c r="E95" i="184"/>
  <c r="D84" i="184"/>
  <c r="C84" i="184"/>
  <c r="B84" i="184"/>
  <c r="E83" i="184"/>
  <c r="E82" i="184"/>
  <c r="E81" i="184"/>
  <c r="E80" i="184"/>
  <c r="B75" i="184"/>
  <c r="E72" i="184"/>
  <c r="D64" i="184"/>
  <c r="C64" i="184"/>
  <c r="B64" i="184"/>
  <c r="E63" i="184"/>
  <c r="E62" i="184"/>
  <c r="E61" i="184"/>
  <c r="E60" i="184"/>
  <c r="E59" i="184"/>
  <c r="E58" i="184"/>
  <c r="B55" i="184"/>
  <c r="E53" i="184"/>
  <c r="E52" i="184"/>
  <c r="C43" i="184"/>
  <c r="B43" i="184"/>
  <c r="E42" i="184"/>
  <c r="E41" i="184"/>
  <c r="E40" i="184"/>
  <c r="E38" i="184"/>
  <c r="E37" i="184"/>
  <c r="E36" i="184"/>
  <c r="B33" i="184"/>
  <c r="E29" i="184"/>
  <c r="D21" i="184"/>
  <c r="C21" i="184"/>
  <c r="B21" i="184"/>
  <c r="E20" i="184"/>
  <c r="E19" i="184"/>
  <c r="E18" i="184"/>
  <c r="E17" i="184"/>
  <c r="E16" i="184"/>
  <c r="E15" i="184"/>
  <c r="D12" i="184"/>
  <c r="C12" i="184"/>
  <c r="B12" i="184"/>
  <c r="E11" i="184"/>
  <c r="E10" i="184"/>
  <c r="E9" i="184"/>
  <c r="D235" i="184" l="1"/>
  <c r="D236" i="184" s="1"/>
  <c r="D259" i="184"/>
  <c r="E259" i="184" s="1"/>
  <c r="E260" i="184" s="1"/>
  <c r="E43" i="184"/>
  <c r="P13" i="149"/>
  <c r="L93" i="166"/>
  <c r="E128" i="184"/>
  <c r="E132" i="184" s="1"/>
  <c r="E121" i="184"/>
  <c r="E122" i="184" s="1"/>
  <c r="I119" i="166"/>
  <c r="C369" i="184"/>
  <c r="C304" i="184"/>
  <c r="C305" i="184" s="1"/>
  <c r="E310" i="184"/>
  <c r="D311" i="184"/>
  <c r="D315" i="184" s="1"/>
  <c r="E336" i="184"/>
  <c r="E357" i="184"/>
  <c r="C379" i="184"/>
  <c r="D33" i="184"/>
  <c r="E12" i="184"/>
  <c r="E33" i="184"/>
  <c r="E84" i="184"/>
  <c r="C74" i="184"/>
  <c r="C75" i="184" s="1"/>
  <c r="D98" i="184"/>
  <c r="D99" i="184" s="1"/>
  <c r="E64" i="184"/>
  <c r="C54" i="184"/>
  <c r="C55" i="184" s="1"/>
  <c r="F104" i="184"/>
  <c r="E105" i="184"/>
  <c r="E110" i="184" s="1"/>
  <c r="E166" i="184"/>
  <c r="E368" i="184"/>
  <c r="C97" i="184"/>
  <c r="E97" i="184" s="1"/>
  <c r="E21" i="184"/>
  <c r="F143" i="184"/>
  <c r="F151" i="184"/>
  <c r="F154" i="184" s="1"/>
  <c r="D144" i="184" s="1"/>
  <c r="E177" i="184"/>
  <c r="E235" i="184"/>
  <c r="E236" i="184" s="1"/>
  <c r="F241" i="184"/>
  <c r="E242" i="184"/>
  <c r="E246" i="184" s="1"/>
  <c r="D282" i="184"/>
  <c r="F288" i="184"/>
  <c r="E289" i="184"/>
  <c r="E293" i="184" s="1"/>
  <c r="C281" i="184"/>
  <c r="C283" i="184" s="1"/>
  <c r="E328" i="184"/>
  <c r="E349" i="184"/>
  <c r="D391" i="184"/>
  <c r="D401" i="184"/>
  <c r="D414" i="184"/>
  <c r="D424" i="184"/>
  <c r="B369" i="184"/>
  <c r="D132" i="184"/>
  <c r="C166" i="184"/>
  <c r="F265" i="184"/>
  <c r="E266" i="184"/>
  <c r="E271" i="184" s="1"/>
  <c r="E327" i="184"/>
  <c r="E365" i="184"/>
  <c r="E377" i="184"/>
  <c r="E379" i="184" s="1"/>
  <c r="F377" i="184"/>
  <c r="D260" i="184" l="1"/>
  <c r="C10" i="153"/>
  <c r="K10" i="153" s="1"/>
  <c r="AB10" i="153" s="1"/>
  <c r="N93" i="166"/>
  <c r="D10" i="153" s="1"/>
  <c r="L10" i="153" s="1"/>
  <c r="AC10" i="153" s="1"/>
  <c r="F43" i="184"/>
  <c r="E13" i="149"/>
  <c r="E281" i="184"/>
  <c r="F349" i="184"/>
  <c r="E98" i="184"/>
  <c r="E99" i="184" s="1"/>
  <c r="G110" i="184" s="1"/>
  <c r="D122" i="184"/>
  <c r="D304" i="184"/>
  <c r="D305" i="184" s="1"/>
  <c r="D54" i="184"/>
  <c r="D55" i="184" s="1"/>
  <c r="E55" i="184" s="1"/>
  <c r="E369" i="184"/>
  <c r="D74" i="184"/>
  <c r="D75" i="184" s="1"/>
  <c r="E75" i="184" s="1"/>
  <c r="C99" i="184"/>
  <c r="D145" i="184"/>
  <c r="F144" i="184"/>
  <c r="F145" i="184" s="1"/>
  <c r="D283" i="184"/>
  <c r="E282" i="184"/>
  <c r="E10" i="153" l="1"/>
  <c r="E283" i="184"/>
  <c r="E54" i="184"/>
  <c r="E74" i="184"/>
  <c r="E236" i="157" l="1"/>
  <c r="E237" i="157" s="1"/>
  <c r="B236" i="157"/>
  <c r="E225" i="157"/>
  <c r="E203" i="157"/>
  <c r="B225" i="157"/>
  <c r="B203" i="157"/>
  <c r="E197" i="157"/>
  <c r="B197" i="157"/>
  <c r="B179" i="157"/>
  <c r="B173" i="157"/>
  <c r="E166" i="157"/>
  <c r="E163" i="157"/>
  <c r="B166" i="157"/>
  <c r="B97" i="157"/>
  <c r="B119" i="183"/>
  <c r="B106" i="183"/>
  <c r="B97" i="183"/>
  <c r="B92" i="183"/>
  <c r="B85" i="183"/>
  <c r="B76" i="183"/>
  <c r="B59" i="183"/>
  <c r="B48" i="183"/>
  <c r="B40" i="183"/>
  <c r="B20" i="183"/>
  <c r="B14" i="183"/>
  <c r="B59" i="156"/>
  <c r="E123" i="155"/>
  <c r="B123" i="155"/>
  <c r="E75" i="155"/>
  <c r="B86" i="155"/>
  <c r="B61" i="155"/>
  <c r="B31" i="155"/>
  <c r="E31" i="155"/>
  <c r="E169" i="157" l="1"/>
  <c r="E170" i="157" s="1"/>
  <c r="F170" i="157" s="1"/>
  <c r="E191" i="157"/>
  <c r="I27" i="170"/>
  <c r="B75" i="155"/>
  <c r="C5" i="134"/>
  <c r="F21" i="134"/>
  <c r="C21" i="134"/>
  <c r="AZ7" i="154"/>
  <c r="Z6" i="154" l="1"/>
  <c r="F5" i="134"/>
  <c r="W6" i="154"/>
  <c r="V28" i="150" l="1"/>
  <c r="V25" i="150"/>
  <c r="S28" i="150"/>
  <c r="S25" i="150"/>
  <c r="J28" i="150"/>
  <c r="I23" i="150"/>
  <c r="F23" i="150"/>
  <c r="F13" i="150"/>
  <c r="B15" i="150"/>
  <c r="B13" i="150"/>
  <c r="I20" i="149"/>
  <c r="B44" i="148"/>
  <c r="G38" i="158" s="1"/>
  <c r="H38" i="158" l="1"/>
  <c r="J38" i="158" s="1"/>
  <c r="E44" i="148"/>
  <c r="M28" i="150"/>
  <c r="I30" i="170" l="1"/>
  <c r="P6" i="171"/>
  <c r="E47" i="171" l="1"/>
  <c r="G47" i="171"/>
  <c r="E20" i="171"/>
  <c r="E240" i="157" l="1"/>
  <c r="B240" i="157"/>
  <c r="E239" i="157"/>
  <c r="B239" i="157"/>
  <c r="B32" i="183"/>
  <c r="AG11" i="153"/>
  <c r="G11" i="170"/>
  <c r="B41" i="170"/>
  <c r="B11" i="170" s="1"/>
  <c r="E242" i="157" l="1"/>
  <c r="B242" i="157"/>
  <c r="B120" i="183"/>
  <c r="AY9" i="154" l="1"/>
  <c r="AX9" i="154"/>
  <c r="AI12" i="153"/>
  <c r="AG12" i="153"/>
  <c r="AF12" i="153"/>
  <c r="C14" i="134" l="1"/>
  <c r="C11" i="134"/>
  <c r="F11" i="134" l="1"/>
  <c r="Z8" i="154"/>
  <c r="F27" i="134"/>
  <c r="C27" i="134"/>
  <c r="N53" i="171" l="1"/>
  <c r="D51" i="171"/>
  <c r="B49" i="171"/>
  <c r="N48" i="171"/>
  <c r="P48" i="171" s="1"/>
  <c r="M49" i="171"/>
  <c r="L49" i="171"/>
  <c r="K49" i="171"/>
  <c r="J49" i="171"/>
  <c r="I49" i="171"/>
  <c r="H49" i="171"/>
  <c r="G49" i="171"/>
  <c r="F49" i="171"/>
  <c r="E49" i="171"/>
  <c r="D49" i="171"/>
  <c r="C49" i="171"/>
  <c r="N46" i="171"/>
  <c r="P46" i="171" s="1"/>
  <c r="N45" i="171"/>
  <c r="P45" i="171" s="1"/>
  <c r="L44" i="171"/>
  <c r="K44" i="171"/>
  <c r="J44" i="171"/>
  <c r="I44" i="171"/>
  <c r="H44" i="171"/>
  <c r="G44" i="171"/>
  <c r="G50" i="171" s="1"/>
  <c r="G52" i="171" s="1"/>
  <c r="F44" i="171"/>
  <c r="E44" i="171"/>
  <c r="D44" i="171"/>
  <c r="C44" i="171"/>
  <c r="C50" i="171" s="1"/>
  <c r="C52" i="171" s="1"/>
  <c r="B44" i="171"/>
  <c r="N42" i="171"/>
  <c r="P42" i="171" s="1"/>
  <c r="N41" i="171"/>
  <c r="P41" i="171" s="1"/>
  <c r="N40" i="171"/>
  <c r="P40" i="171" s="1"/>
  <c r="N39" i="171"/>
  <c r="P39" i="171" s="1"/>
  <c r="N38" i="171"/>
  <c r="P38" i="171" s="1"/>
  <c r="N37" i="171"/>
  <c r="P37" i="171" s="1"/>
  <c r="N36" i="171"/>
  <c r="P36" i="171" s="1"/>
  <c r="N35" i="171"/>
  <c r="P35" i="171" s="1"/>
  <c r="N34" i="171"/>
  <c r="P34" i="171" s="1"/>
  <c r="N33" i="171"/>
  <c r="P33" i="171" s="1"/>
  <c r="N31" i="171"/>
  <c r="N30" i="171"/>
  <c r="N29" i="171"/>
  <c r="M26" i="171"/>
  <c r="L26" i="171"/>
  <c r="K26" i="171"/>
  <c r="J26" i="171"/>
  <c r="I26" i="171"/>
  <c r="H26" i="171"/>
  <c r="G26" i="171"/>
  <c r="F26" i="171"/>
  <c r="E26" i="171"/>
  <c r="E27" i="171" s="1"/>
  <c r="E32" i="171" s="1"/>
  <c r="D26" i="171"/>
  <c r="C26" i="171"/>
  <c r="B26" i="171"/>
  <c r="N25" i="171"/>
  <c r="P25" i="171" s="1"/>
  <c r="N24" i="171"/>
  <c r="P24" i="171" s="1"/>
  <c r="N23" i="171"/>
  <c r="P23" i="171" s="1"/>
  <c r="N22" i="171"/>
  <c r="P22" i="171" s="1"/>
  <c r="N21" i="171"/>
  <c r="P21" i="171" s="1"/>
  <c r="L20" i="171"/>
  <c r="K20" i="171"/>
  <c r="J20" i="171"/>
  <c r="H20" i="171"/>
  <c r="F20" i="171"/>
  <c r="D20" i="171"/>
  <c r="C20" i="171"/>
  <c r="B20" i="171"/>
  <c r="N19" i="171"/>
  <c r="P19" i="171" s="1"/>
  <c r="N18" i="171"/>
  <c r="P18" i="171" s="1"/>
  <c r="N17" i="171"/>
  <c r="P17" i="171" s="1"/>
  <c r="N16" i="171"/>
  <c r="P16" i="171" s="1"/>
  <c r="N15" i="171"/>
  <c r="P15" i="171" s="1"/>
  <c r="N14" i="171"/>
  <c r="P14" i="171" s="1"/>
  <c r="I20" i="171"/>
  <c r="G20" i="171"/>
  <c r="N12" i="171"/>
  <c r="P12" i="171" s="1"/>
  <c r="N11" i="171"/>
  <c r="P11" i="171" s="1"/>
  <c r="N9" i="171"/>
  <c r="P9" i="171" s="1"/>
  <c r="N8" i="171"/>
  <c r="I93" i="170"/>
  <c r="H93" i="170"/>
  <c r="G93" i="170"/>
  <c r="J91" i="170"/>
  <c r="J90" i="170"/>
  <c r="E90" i="170"/>
  <c r="D90" i="170"/>
  <c r="D93" i="170" s="1"/>
  <c r="C90" i="170"/>
  <c r="B90" i="170"/>
  <c r="B93" i="170" s="1"/>
  <c r="J89" i="170"/>
  <c r="J88" i="170"/>
  <c r="J87" i="170"/>
  <c r="J86" i="170"/>
  <c r="I82" i="170"/>
  <c r="I84" i="170" s="1"/>
  <c r="H82" i="170"/>
  <c r="H84" i="170" s="1"/>
  <c r="G82" i="170"/>
  <c r="G84" i="170" s="1"/>
  <c r="D82" i="170"/>
  <c r="D84" i="170" s="1"/>
  <c r="B82" i="170"/>
  <c r="B84" i="170" s="1"/>
  <c r="J78" i="170"/>
  <c r="J77" i="170"/>
  <c r="J76" i="170"/>
  <c r="J75" i="170"/>
  <c r="J74" i="170"/>
  <c r="E74" i="170"/>
  <c r="J73" i="170"/>
  <c r="E73" i="170"/>
  <c r="J72" i="170"/>
  <c r="J62" i="170"/>
  <c r="E62" i="170"/>
  <c r="H61" i="170"/>
  <c r="H64" i="170" s="1"/>
  <c r="C61" i="170"/>
  <c r="C64" i="170" s="1"/>
  <c r="B61" i="170"/>
  <c r="B64" i="170" s="1"/>
  <c r="J60" i="170"/>
  <c r="J59" i="170"/>
  <c r="J58" i="170"/>
  <c r="J56" i="170"/>
  <c r="E56" i="170"/>
  <c r="J55" i="170"/>
  <c r="J53" i="170"/>
  <c r="E53" i="170"/>
  <c r="I50" i="170"/>
  <c r="J50" i="170" s="1"/>
  <c r="I49" i="170"/>
  <c r="C49" i="170"/>
  <c r="C51" i="170" s="1"/>
  <c r="J47" i="170"/>
  <c r="J46" i="170"/>
  <c r="J45" i="170"/>
  <c r="J44" i="170"/>
  <c r="J43" i="170"/>
  <c r="E43" i="170"/>
  <c r="J42" i="170"/>
  <c r="E40" i="170"/>
  <c r="J30" i="170"/>
  <c r="K26" i="170"/>
  <c r="J26" i="170"/>
  <c r="E26" i="170"/>
  <c r="J25" i="170"/>
  <c r="K24" i="170"/>
  <c r="K14" i="170"/>
  <c r="K13" i="170"/>
  <c r="J13" i="170"/>
  <c r="I60" i="169"/>
  <c r="B60" i="169"/>
  <c r="I59" i="169"/>
  <c r="H44" i="169"/>
  <c r="B44" i="169"/>
  <c r="B61" i="169" s="1"/>
  <c r="H43" i="169"/>
  <c r="C42" i="169"/>
  <c r="C58" i="169" s="1"/>
  <c r="F42" i="169"/>
  <c r="F58" i="169" s="1"/>
  <c r="H39" i="169"/>
  <c r="H37" i="169"/>
  <c r="D34" i="169"/>
  <c r="D25" i="169"/>
  <c r="H24" i="169"/>
  <c r="H23" i="169"/>
  <c r="H22" i="169"/>
  <c r="C20" i="169"/>
  <c r="C57" i="169" s="1"/>
  <c r="F20" i="169"/>
  <c r="F57" i="169" s="1"/>
  <c r="D14" i="169"/>
  <c r="H13" i="169"/>
  <c r="D13" i="169"/>
  <c r="D12" i="169"/>
  <c r="AY10" i="154" l="1"/>
  <c r="B27" i="171"/>
  <c r="B32" i="171" s="1"/>
  <c r="H27" i="171"/>
  <c r="H32" i="171" s="1"/>
  <c r="I27" i="171"/>
  <c r="I32" i="171" s="1"/>
  <c r="I50" i="171"/>
  <c r="I52" i="171" s="1"/>
  <c r="D27" i="171"/>
  <c r="D32" i="171" s="1"/>
  <c r="H42" i="169"/>
  <c r="H58" i="169" s="1"/>
  <c r="E50" i="170"/>
  <c r="J93" i="170"/>
  <c r="F27" i="171"/>
  <c r="F32" i="171" s="1"/>
  <c r="J27" i="171"/>
  <c r="J32" i="171" s="1"/>
  <c r="L27" i="171"/>
  <c r="L32" i="171" s="1"/>
  <c r="G42" i="169"/>
  <c r="B59" i="169"/>
  <c r="C56" i="169"/>
  <c r="H49" i="170"/>
  <c r="H51" i="170" s="1"/>
  <c r="H65" i="170" s="1"/>
  <c r="AX10" i="154" s="1"/>
  <c r="AW10" i="154" s="1"/>
  <c r="J40" i="170"/>
  <c r="J82" i="170"/>
  <c r="J84" i="170" s="1"/>
  <c r="G27" i="171"/>
  <c r="G32" i="171" s="1"/>
  <c r="M27" i="171"/>
  <c r="M32" i="171" s="1"/>
  <c r="J14" i="170"/>
  <c r="G49" i="170"/>
  <c r="G51" i="170" s="1"/>
  <c r="K27" i="171"/>
  <c r="K32" i="171" s="1"/>
  <c r="D50" i="171"/>
  <c r="D52" i="171" s="1"/>
  <c r="J50" i="171"/>
  <c r="J52" i="171" s="1"/>
  <c r="K50" i="171"/>
  <c r="K52" i="171" s="1"/>
  <c r="E50" i="171"/>
  <c r="E52" i="171" s="1"/>
  <c r="N51" i="171"/>
  <c r="P51" i="171" s="1"/>
  <c r="H50" i="171"/>
  <c r="H52" i="171" s="1"/>
  <c r="B50" i="171"/>
  <c r="B54" i="171" s="1"/>
  <c r="C6" i="171" s="1"/>
  <c r="F50" i="171"/>
  <c r="F52" i="171" s="1"/>
  <c r="L50" i="171"/>
  <c r="L52" i="171" s="1"/>
  <c r="N26" i="171"/>
  <c r="C27" i="171"/>
  <c r="C32" i="171" s="1"/>
  <c r="I51" i="170"/>
  <c r="K25" i="170"/>
  <c r="K30" i="170"/>
  <c r="Q6" i="171"/>
  <c r="N6" i="171" s="1"/>
  <c r="N13" i="171"/>
  <c r="N28" i="171"/>
  <c r="P28" i="171" s="1"/>
  <c r="N47" i="171"/>
  <c r="J39" i="170"/>
  <c r="D49" i="170"/>
  <c r="D51" i="170" s="1"/>
  <c r="E42" i="170"/>
  <c r="G61" i="170"/>
  <c r="G64" i="170" s="1"/>
  <c r="J54" i="170"/>
  <c r="C65" i="170"/>
  <c r="E72" i="170"/>
  <c r="E82" i="170" s="1"/>
  <c r="B49" i="170"/>
  <c r="B51" i="170" s="1"/>
  <c r="B65" i="170" s="1"/>
  <c r="E39" i="170"/>
  <c r="E41" i="170"/>
  <c r="J41" i="170"/>
  <c r="C82" i="170"/>
  <c r="F56" i="169"/>
  <c r="N49" i="171" l="1"/>
  <c r="P47" i="171"/>
  <c r="N20" i="171"/>
  <c r="N27" i="171" s="1"/>
  <c r="P13" i="171"/>
  <c r="G58" i="169"/>
  <c r="I58" i="169" s="1"/>
  <c r="I32" i="170"/>
  <c r="AY11" i="154"/>
  <c r="AG13" i="153"/>
  <c r="AF14" i="153"/>
  <c r="B52" i="171"/>
  <c r="G65" i="170"/>
  <c r="E49" i="170"/>
  <c r="E51" i="170" s="1"/>
  <c r="C54" i="171"/>
  <c r="D6" i="171" s="1"/>
  <c r="D54" i="171" s="1"/>
  <c r="E6" i="171" s="1"/>
  <c r="E54" i="171" s="1"/>
  <c r="F6" i="171" s="1"/>
  <c r="F54" i="171" s="1"/>
  <c r="G6" i="171" s="1"/>
  <c r="G54" i="171" s="1"/>
  <c r="H6" i="171" s="1"/>
  <c r="H54" i="171" s="1"/>
  <c r="I6" i="171" s="1"/>
  <c r="I54" i="171" s="1"/>
  <c r="J6" i="171" s="1"/>
  <c r="J54" i="171" s="1"/>
  <c r="K6" i="171" s="1"/>
  <c r="K54" i="171" s="1"/>
  <c r="L6" i="171" s="1"/>
  <c r="L54" i="171" s="1"/>
  <c r="M6" i="171" s="1"/>
  <c r="J49" i="170"/>
  <c r="J51" i="170" s="1"/>
  <c r="K32" i="170" l="1"/>
  <c r="J32" i="170"/>
  <c r="AX11" i="154"/>
  <c r="N32" i="171"/>
  <c r="E76" i="149" l="1"/>
  <c r="E15" i="150" l="1"/>
  <c r="E35" i="149" l="1"/>
  <c r="V10" i="154"/>
  <c r="I10" i="154"/>
  <c r="AV6" i="154"/>
  <c r="I9" i="154" l="1"/>
  <c r="M9" i="154"/>
  <c r="V9" i="154"/>
  <c r="Z9" i="154"/>
  <c r="I11" i="154"/>
  <c r="V11" i="154"/>
  <c r="C37" i="148"/>
  <c r="E37" i="148" s="1"/>
  <c r="C34" i="148"/>
  <c r="E34" i="148" s="1"/>
  <c r="I57" i="150"/>
  <c r="M57" i="150"/>
  <c r="V57" i="150"/>
  <c r="V34" i="150"/>
  <c r="M12" i="154"/>
  <c r="I12" i="154"/>
  <c r="E33" i="155"/>
  <c r="E25" i="155"/>
  <c r="C28" i="148"/>
  <c r="E28" i="148" s="1"/>
  <c r="C36" i="148"/>
  <c r="E36" i="148" s="1"/>
  <c r="E88" i="167"/>
  <c r="C71" i="167"/>
  <c r="E70" i="167"/>
  <c r="E25" i="167"/>
  <c r="G25" i="167" s="1"/>
  <c r="I25" i="167" s="1"/>
  <c r="K25" i="167" s="1"/>
  <c r="E24" i="167"/>
  <c r="E22" i="167" s="1"/>
  <c r="E21" i="167"/>
  <c r="E19" i="167" s="1"/>
  <c r="E18" i="167"/>
  <c r="E16" i="167"/>
  <c r="E14" i="167"/>
  <c r="E11" i="167"/>
  <c r="E8" i="167"/>
  <c r="G107" i="166"/>
  <c r="J107" i="166" s="1"/>
  <c r="L107" i="166" s="1"/>
  <c r="N107" i="166" s="1"/>
  <c r="E105" i="166"/>
  <c r="G105" i="166" s="1"/>
  <c r="J105" i="166" s="1"/>
  <c r="L105" i="166" s="1"/>
  <c r="N105" i="166" s="1"/>
  <c r="G97" i="166"/>
  <c r="G93" i="166"/>
  <c r="G85" i="166"/>
  <c r="G80" i="166"/>
  <c r="G73" i="166"/>
  <c r="J73" i="166" s="1"/>
  <c r="L73" i="166" s="1"/>
  <c r="N73" i="166" s="1"/>
  <c r="G72" i="166"/>
  <c r="J72" i="166" s="1"/>
  <c r="L72" i="166" s="1"/>
  <c r="N72" i="166" s="1"/>
  <c r="G71" i="166"/>
  <c r="J71" i="166" s="1"/>
  <c r="L71" i="166" s="1"/>
  <c r="N71" i="166" s="1"/>
  <c r="G69" i="166"/>
  <c r="J69" i="166" s="1"/>
  <c r="L69" i="166" s="1"/>
  <c r="N69" i="166" s="1"/>
  <c r="G68" i="166"/>
  <c r="J68" i="166" s="1"/>
  <c r="L68" i="166" s="1"/>
  <c r="N68" i="166" s="1"/>
  <c r="G67" i="166"/>
  <c r="J67" i="166" s="1"/>
  <c r="L67" i="166" s="1"/>
  <c r="N67" i="166" s="1"/>
  <c r="G66" i="166"/>
  <c r="J66" i="166" s="1"/>
  <c r="L66" i="166" s="1"/>
  <c r="N66" i="166" s="1"/>
  <c r="G65" i="166"/>
  <c r="J65" i="166" s="1"/>
  <c r="L65" i="166" s="1"/>
  <c r="N65" i="166" s="1"/>
  <c r="E54" i="166"/>
  <c r="G54" i="166" s="1"/>
  <c r="J54" i="166" s="1"/>
  <c r="L54" i="166" s="1"/>
  <c r="N54" i="166" s="1"/>
  <c r="F52" i="166"/>
  <c r="G52" i="166" s="1"/>
  <c r="J52" i="166" s="1"/>
  <c r="L52" i="166" s="1"/>
  <c r="N52" i="166" s="1"/>
  <c r="F51" i="166"/>
  <c r="G51" i="166" s="1"/>
  <c r="J51" i="166" s="1"/>
  <c r="L51" i="166" s="1"/>
  <c r="N51" i="166" s="1"/>
  <c r="E43" i="166"/>
  <c r="G43" i="166" s="1"/>
  <c r="J43" i="166" s="1"/>
  <c r="L43" i="166" s="1"/>
  <c r="N43" i="166" s="1"/>
  <c r="G42" i="166"/>
  <c r="J42" i="166" s="1"/>
  <c r="L42" i="166" s="1"/>
  <c r="N42" i="166" s="1"/>
  <c r="G41" i="166"/>
  <c r="J41" i="166" s="1"/>
  <c r="L41" i="166" s="1"/>
  <c r="N41" i="166" s="1"/>
  <c r="G40" i="166"/>
  <c r="J40" i="166" s="1"/>
  <c r="L40" i="166" s="1"/>
  <c r="N40" i="166" s="1"/>
  <c r="G39" i="166"/>
  <c r="J39" i="166" s="1"/>
  <c r="L39" i="166" s="1"/>
  <c r="N39" i="166" s="1"/>
  <c r="G38" i="166"/>
  <c r="J38" i="166" s="1"/>
  <c r="L38" i="166" s="1"/>
  <c r="N38" i="166" s="1"/>
  <c r="E31" i="166"/>
  <c r="G31" i="166" s="1"/>
  <c r="J31" i="166" s="1"/>
  <c r="L31" i="166" s="1"/>
  <c r="N31" i="166" s="1"/>
  <c r="G30" i="166"/>
  <c r="J30" i="166" s="1"/>
  <c r="L30" i="166" s="1"/>
  <c r="N30" i="166" s="1"/>
  <c r="G29" i="166"/>
  <c r="J29" i="166" s="1"/>
  <c r="L29" i="166" s="1"/>
  <c r="N29" i="166" s="1"/>
  <c r="G28" i="166"/>
  <c r="J28" i="166" s="1"/>
  <c r="L28" i="166" s="1"/>
  <c r="N28" i="166" s="1"/>
  <c r="G27" i="166"/>
  <c r="J27" i="166" s="1"/>
  <c r="L27" i="166" s="1"/>
  <c r="N27" i="166" s="1"/>
  <c r="E20" i="166"/>
  <c r="G20" i="166" s="1"/>
  <c r="J20" i="166" s="1"/>
  <c r="L20" i="166" s="1"/>
  <c r="N20" i="166" s="1"/>
  <c r="G19" i="166"/>
  <c r="J19" i="166" s="1"/>
  <c r="L19" i="166" s="1"/>
  <c r="N19" i="166" s="1"/>
  <c r="G18" i="166"/>
  <c r="J18" i="166" s="1"/>
  <c r="L18" i="166" s="1"/>
  <c r="N18" i="166" s="1"/>
  <c r="G17" i="166"/>
  <c r="J17" i="166" s="1"/>
  <c r="L17" i="166" s="1"/>
  <c r="N17" i="166" s="1"/>
  <c r="G16" i="166"/>
  <c r="J16" i="166" s="1"/>
  <c r="L16" i="166" s="1"/>
  <c r="N16" i="166" s="1"/>
  <c r="E9" i="166"/>
  <c r="G9" i="166" s="1"/>
  <c r="G8" i="166"/>
  <c r="J8" i="166" s="1"/>
  <c r="L8" i="166" s="1"/>
  <c r="N8" i="166" s="1"/>
  <c r="G7" i="166"/>
  <c r="G6" i="166"/>
  <c r="D6" i="166"/>
  <c r="G5" i="166"/>
  <c r="G4" i="166"/>
  <c r="L117" i="166" l="1"/>
  <c r="N117" i="166" s="1"/>
  <c r="E144" i="155"/>
  <c r="E13" i="156"/>
  <c r="E57" i="150"/>
  <c r="E139" i="155"/>
  <c r="E5" i="156"/>
  <c r="C27" i="148"/>
  <c r="E27" i="148" s="1"/>
  <c r="Z10" i="154"/>
  <c r="J6" i="166"/>
  <c r="L6" i="166" s="1"/>
  <c r="N6" i="166" s="1"/>
  <c r="J4" i="166"/>
  <c r="L4" i="166" s="1"/>
  <c r="N4" i="166" s="1"/>
  <c r="J9" i="166"/>
  <c r="L9" i="166" s="1"/>
  <c r="N9" i="166" s="1"/>
  <c r="J5" i="166"/>
  <c r="L5" i="166" s="1"/>
  <c r="N5" i="166" s="1"/>
  <c r="P10" i="149"/>
  <c r="Z11" i="154"/>
  <c r="R12" i="154"/>
  <c r="J117" i="166"/>
  <c r="J7" i="166"/>
  <c r="L7" i="166" s="1"/>
  <c r="N7" i="166" s="1"/>
  <c r="G83" i="166"/>
  <c r="J83" i="166" s="1"/>
  <c r="J80" i="166"/>
  <c r="L80" i="166" s="1"/>
  <c r="N80" i="166" s="1"/>
  <c r="G90" i="166"/>
  <c r="J90" i="166" s="1"/>
  <c r="J85" i="166"/>
  <c r="L85" i="166" s="1"/>
  <c r="N85" i="166" s="1"/>
  <c r="B12" i="149"/>
  <c r="G70" i="167"/>
  <c r="E12" i="167"/>
  <c r="E10" i="167" s="1"/>
  <c r="G11" i="167"/>
  <c r="E7" i="167"/>
  <c r="G7" i="167" s="1"/>
  <c r="I7" i="167" s="1"/>
  <c r="K7" i="167" s="1"/>
  <c r="G8" i="167"/>
  <c r="I8" i="167" s="1"/>
  <c r="K8" i="167" s="1"/>
  <c r="B12" i="170"/>
  <c r="G20" i="169"/>
  <c r="H21" i="169"/>
  <c r="G70" i="166"/>
  <c r="J70" i="166" s="1"/>
  <c r="L70" i="166" s="1"/>
  <c r="N70" i="166" s="1"/>
  <c r="G117" i="166"/>
  <c r="G13" i="154"/>
  <c r="I13" i="154" s="1"/>
  <c r="E50" i="150"/>
  <c r="G48" i="166"/>
  <c r="J48" i="166" s="1"/>
  <c r="L48" i="166" s="1"/>
  <c r="N48" i="166" s="1"/>
  <c r="G25" i="166"/>
  <c r="J25" i="166" s="1"/>
  <c r="L25" i="166" s="1"/>
  <c r="N25" i="166" s="1"/>
  <c r="G36" i="166"/>
  <c r="J36" i="166" s="1"/>
  <c r="L36" i="166" s="1"/>
  <c r="N36" i="166" s="1"/>
  <c r="G61" i="166"/>
  <c r="J61" i="166" s="1"/>
  <c r="L61" i="166" s="1"/>
  <c r="E229" i="157"/>
  <c r="G14" i="166"/>
  <c r="J14" i="166" s="1"/>
  <c r="L14" i="166" s="1"/>
  <c r="N14" i="166" s="1"/>
  <c r="E134" i="155" l="1"/>
  <c r="C11" i="153"/>
  <c r="N61" i="166"/>
  <c r="D11" i="153" s="1"/>
  <c r="E10" i="149"/>
  <c r="H32" i="169"/>
  <c r="C22" i="148"/>
  <c r="E22" i="148" s="1"/>
  <c r="E36" i="155"/>
  <c r="M11" i="154"/>
  <c r="M10" i="154"/>
  <c r="L90" i="166"/>
  <c r="L83" i="166"/>
  <c r="I70" i="167"/>
  <c r="G12" i="167"/>
  <c r="I11" i="167"/>
  <c r="F40" i="169"/>
  <c r="G78" i="166"/>
  <c r="J78" i="166" s="1"/>
  <c r="E6" i="167"/>
  <c r="E5" i="167" s="1"/>
  <c r="E93" i="167" s="1"/>
  <c r="K20" i="170"/>
  <c r="J20" i="170"/>
  <c r="G57" i="169"/>
  <c r="H20" i="169"/>
  <c r="H57" i="169" s="1"/>
  <c r="H56" i="169" s="1"/>
  <c r="E230" i="157"/>
  <c r="I12" i="167" l="1"/>
  <c r="K11" i="167"/>
  <c r="K12" i="167" s="1"/>
  <c r="C12" i="149"/>
  <c r="O12" i="149" s="1"/>
  <c r="K70" i="167"/>
  <c r="C13" i="153"/>
  <c r="G13" i="153" s="1"/>
  <c r="N83" i="166"/>
  <c r="D13" i="153" s="1"/>
  <c r="H13" i="153" s="1"/>
  <c r="C9" i="153"/>
  <c r="K9" i="153" s="1"/>
  <c r="AB9" i="153" s="1"/>
  <c r="N90" i="166"/>
  <c r="D9" i="153" s="1"/>
  <c r="K11" i="153"/>
  <c r="AB11" i="153" s="1"/>
  <c r="M13" i="154"/>
  <c r="E42" i="155"/>
  <c r="C21" i="148"/>
  <c r="E21" i="148" s="1"/>
  <c r="E146" i="155"/>
  <c r="V13" i="154"/>
  <c r="V12" i="154"/>
  <c r="J119" i="166"/>
  <c r="L78" i="166"/>
  <c r="N78" i="166" s="1"/>
  <c r="L11" i="153"/>
  <c r="AC11" i="153" s="1"/>
  <c r="AE11" i="153" s="1"/>
  <c r="AJ11" i="153" s="1"/>
  <c r="E11" i="153"/>
  <c r="E11" i="149"/>
  <c r="Z13" i="154"/>
  <c r="Z12" i="154"/>
  <c r="F47" i="169"/>
  <c r="F53" i="169"/>
  <c r="G119" i="166"/>
  <c r="G6" i="167"/>
  <c r="I6" i="167" s="1"/>
  <c r="K6" i="167" s="1"/>
  <c r="B9" i="149"/>
  <c r="G5" i="167"/>
  <c r="C26" i="148"/>
  <c r="E26" i="148" s="1"/>
  <c r="G56" i="169"/>
  <c r="I56" i="169" s="1"/>
  <c r="I57" i="169"/>
  <c r="C9" i="170" l="1"/>
  <c r="AB12" i="153"/>
  <c r="E13" i="153"/>
  <c r="D12" i="149"/>
  <c r="P12" i="149" s="1"/>
  <c r="L9" i="153"/>
  <c r="AC9" i="153" s="1"/>
  <c r="AE9" i="153" s="1"/>
  <c r="N119" i="166"/>
  <c r="D12" i="153"/>
  <c r="B9" i="170" s="1"/>
  <c r="E9" i="153"/>
  <c r="C12" i="153"/>
  <c r="C14" i="153" s="1"/>
  <c r="H14" i="153"/>
  <c r="H15" i="153" s="1"/>
  <c r="K13" i="153"/>
  <c r="AB13" i="153" s="1"/>
  <c r="G14" i="153"/>
  <c r="G15" i="153" s="1"/>
  <c r="L119" i="166"/>
  <c r="I5" i="167"/>
  <c r="G93" i="167"/>
  <c r="D25" i="170"/>
  <c r="B8" i="169" l="1"/>
  <c r="E12" i="153"/>
  <c r="L12" i="153"/>
  <c r="E12" i="149"/>
  <c r="C9" i="149"/>
  <c r="K5" i="167"/>
  <c r="I93" i="167"/>
  <c r="K12" i="153"/>
  <c r="K14" i="153" s="1"/>
  <c r="K16" i="153" s="1"/>
  <c r="D14" i="153"/>
  <c r="D15" i="153" s="1"/>
  <c r="D9" i="170" s="1"/>
  <c r="I13" i="153"/>
  <c r="C18" i="153"/>
  <c r="C15" i="153" s="1"/>
  <c r="C16" i="153" s="1"/>
  <c r="L13" i="153"/>
  <c r="AC13" i="153" s="1"/>
  <c r="AB14" i="153"/>
  <c r="AC12" i="153"/>
  <c r="AV7" i="154"/>
  <c r="AV8" i="154"/>
  <c r="B9" i="154"/>
  <c r="F9" i="154"/>
  <c r="J9" i="154"/>
  <c r="O9" i="154"/>
  <c r="R9" i="154"/>
  <c r="S9" i="154"/>
  <c r="AB9" i="154"/>
  <c r="AB11" i="154" s="1"/>
  <c r="AE9" i="154"/>
  <c r="AF9" i="154"/>
  <c r="AF11" i="154" s="1"/>
  <c r="AI9" i="154"/>
  <c r="AI11" i="154" s="1"/>
  <c r="AJ9" i="154"/>
  <c r="AJ11" i="154" s="1"/>
  <c r="AM9" i="154"/>
  <c r="AM11" i="154" s="1"/>
  <c r="AO9" i="154"/>
  <c r="AO11" i="154" s="1"/>
  <c r="AR9" i="154"/>
  <c r="AR11" i="154" s="1"/>
  <c r="F10" i="154"/>
  <c r="S10" i="154"/>
  <c r="E14" i="153" l="1"/>
  <c r="D9" i="149"/>
  <c r="D8" i="149" s="1"/>
  <c r="D7" i="149" s="1"/>
  <c r="K93" i="167"/>
  <c r="K94" i="167" s="1"/>
  <c r="O9" i="149"/>
  <c r="O8" i="149" s="1"/>
  <c r="O7" i="149" s="1"/>
  <c r="O74" i="149" s="1"/>
  <c r="C8" i="149"/>
  <c r="C7" i="149" s="1"/>
  <c r="C74" i="149" s="1"/>
  <c r="C92" i="149" s="1"/>
  <c r="O92" i="149" s="1"/>
  <c r="L14" i="153"/>
  <c r="L16" i="153" s="1"/>
  <c r="D16" i="153"/>
  <c r="E16" i="153" s="1"/>
  <c r="E15" i="153"/>
  <c r="AC14" i="153"/>
  <c r="M50" i="150"/>
  <c r="I50" i="150"/>
  <c r="G19" i="170"/>
  <c r="G21" i="170" s="1"/>
  <c r="S11" i="154"/>
  <c r="F11" i="169" s="1"/>
  <c r="B11" i="154"/>
  <c r="F11" i="154"/>
  <c r="P9" i="149" l="1"/>
  <c r="P8" i="149" s="1"/>
  <c r="P7" i="149" s="1"/>
  <c r="P74" i="149" s="1"/>
  <c r="E9" i="149"/>
  <c r="Q9" i="149" s="1"/>
  <c r="D74" i="149"/>
  <c r="D92" i="149" s="1"/>
  <c r="O8" i="171"/>
  <c r="P8" i="171" s="1"/>
  <c r="C8" i="169"/>
  <c r="M51" i="150"/>
  <c r="I51" i="150"/>
  <c r="D6" i="148" l="1"/>
  <c r="D13" i="148" s="1"/>
  <c r="D18" i="148" s="1"/>
  <c r="P32" i="171" s="1"/>
  <c r="D7" i="158"/>
  <c r="D17" i="158" s="1"/>
  <c r="D18" i="158" s="1"/>
  <c r="P15" i="153"/>
  <c r="P92" i="149"/>
  <c r="H36" i="169"/>
  <c r="K11" i="170"/>
  <c r="D51" i="158" l="1"/>
  <c r="D53" i="158" s="1"/>
  <c r="I54" i="158" s="1"/>
  <c r="D25" i="158"/>
  <c r="P16" i="153"/>
  <c r="AC15" i="153"/>
  <c r="AC16" i="153" s="1"/>
  <c r="J28" i="170"/>
  <c r="K28" i="170"/>
  <c r="H16" i="169"/>
  <c r="J17" i="170" l="1"/>
  <c r="K17" i="170"/>
  <c r="I15" i="150"/>
  <c r="C83" i="170" l="1"/>
  <c r="C20" i="170" s="1"/>
  <c r="H41" i="158"/>
  <c r="H36" i="158"/>
  <c r="J36" i="158" s="1"/>
  <c r="H23" i="158"/>
  <c r="J23" i="158" s="1"/>
  <c r="H12" i="158"/>
  <c r="J12" i="158" s="1"/>
  <c r="H34" i="158"/>
  <c r="J34" i="158" s="1"/>
  <c r="H35" i="158"/>
  <c r="J35" i="158" s="1"/>
  <c r="H37" i="158"/>
  <c r="J37" i="158" s="1"/>
  <c r="E80" i="156"/>
  <c r="H15" i="158"/>
  <c r="J15" i="158" s="1"/>
  <c r="V13" i="153"/>
  <c r="V11" i="153"/>
  <c r="V10" i="153"/>
  <c r="V9" i="153"/>
  <c r="H57" i="158" l="1"/>
  <c r="J41" i="158"/>
  <c r="C91" i="170"/>
  <c r="E83" i="170"/>
  <c r="E84" i="170" s="1"/>
  <c r="C84" i="170"/>
  <c r="B32" i="170"/>
  <c r="C12" i="170"/>
  <c r="H32" i="158"/>
  <c r="J32" i="158" s="1"/>
  <c r="H33" i="158"/>
  <c r="J33" i="158" s="1"/>
  <c r="H20" i="158"/>
  <c r="Q13" i="153"/>
  <c r="Q9" i="153"/>
  <c r="Q11" i="153"/>
  <c r="Q10" i="153"/>
  <c r="H19" i="158" l="1"/>
  <c r="J20" i="158"/>
  <c r="V14" i="153"/>
  <c r="V12" i="153"/>
  <c r="AI12" i="154"/>
  <c r="AE12" i="154"/>
  <c r="E91" i="170"/>
  <c r="E93" i="170" s="1"/>
  <c r="C93" i="170"/>
  <c r="AH13" i="153" s="1"/>
  <c r="C32" i="170"/>
  <c r="AV10" i="154"/>
  <c r="H30" i="158"/>
  <c r="J30" i="158" s="1"/>
  <c r="Q14" i="153" l="1"/>
  <c r="Q12" i="153"/>
  <c r="H56" i="158"/>
  <c r="H55" i="158" s="1"/>
  <c r="J19" i="158"/>
  <c r="C23" i="148"/>
  <c r="E23" i="148" s="1"/>
  <c r="AV9" i="154"/>
  <c r="AH14" i="153"/>
  <c r="AI13" i="153" s="1"/>
  <c r="AI14" i="153" s="1"/>
  <c r="AV11" i="154"/>
  <c r="H33" i="169" l="1"/>
  <c r="E38" i="149"/>
  <c r="E31" i="149"/>
  <c r="K29" i="170" l="1"/>
  <c r="J29" i="170"/>
  <c r="J57" i="170"/>
  <c r="J61" i="170" s="1"/>
  <c r="J64" i="170" s="1"/>
  <c r="J65" i="170" s="1"/>
  <c r="I61" i="170"/>
  <c r="I64" i="170" s="1"/>
  <c r="H38" i="169"/>
  <c r="AM12" i="154"/>
  <c r="E34" i="149"/>
  <c r="E30" i="149" s="1"/>
  <c r="E93" i="149"/>
  <c r="E94" i="149"/>
  <c r="I94" i="149"/>
  <c r="Q53" i="150"/>
  <c r="Q54" i="150"/>
  <c r="Q55" i="150"/>
  <c r="Q56" i="150"/>
  <c r="M94" i="149" l="1"/>
  <c r="Q94" i="149" s="1"/>
  <c r="I93" i="149"/>
  <c r="I65" i="170"/>
  <c r="R30" i="149"/>
  <c r="AE13" i="154"/>
  <c r="AM13" i="154"/>
  <c r="Q57" i="150"/>
  <c r="M93" i="149" l="1"/>
  <c r="H14" i="169" l="1"/>
  <c r="H35" i="169"/>
  <c r="H9" i="169"/>
  <c r="J9" i="170"/>
  <c r="H15" i="169"/>
  <c r="J11" i="170"/>
  <c r="H19" i="170"/>
  <c r="H21" i="170" s="1"/>
  <c r="R10" i="154"/>
  <c r="R11" i="154" s="1"/>
  <c r="G31" i="170"/>
  <c r="G33" i="170" s="1"/>
  <c r="J56" i="158"/>
  <c r="Q93" i="149"/>
  <c r="Q90" i="149"/>
  <c r="Q85" i="149"/>
  <c r="Q73" i="149"/>
  <c r="Q72" i="149"/>
  <c r="Q71" i="149"/>
  <c r="Q68" i="149"/>
  <c r="Q67" i="149"/>
  <c r="Q63" i="149"/>
  <c r="Q62" i="149"/>
  <c r="Q60" i="149"/>
  <c r="Q56" i="149"/>
  <c r="Q55" i="149"/>
  <c r="Q49" i="149"/>
  <c r="Q41" i="149"/>
  <c r="Q40" i="149"/>
  <c r="Q39" i="149"/>
  <c r="Q38" i="149"/>
  <c r="Q37" i="149"/>
  <c r="Q36" i="149"/>
  <c r="Q35" i="149"/>
  <c r="Q34" i="149"/>
  <c r="Q33" i="149"/>
  <c r="Q32" i="149"/>
  <c r="Q31" i="149"/>
  <c r="M79" i="149"/>
  <c r="Q48" i="149"/>
  <c r="M30" i="149"/>
  <c r="M8" i="149"/>
  <c r="E84" i="149"/>
  <c r="E70" i="149"/>
  <c r="E66" i="149"/>
  <c r="E58" i="149"/>
  <c r="E43" i="149"/>
  <c r="I80" i="149"/>
  <c r="I78" i="149"/>
  <c r="I77" i="149"/>
  <c r="I70" i="149"/>
  <c r="I66" i="149"/>
  <c r="I61" i="149"/>
  <c r="I52" i="149"/>
  <c r="I47" i="149"/>
  <c r="I46" i="149"/>
  <c r="I42" i="149"/>
  <c r="I22" i="149"/>
  <c r="I8" i="149"/>
  <c r="V46" i="150"/>
  <c r="V21" i="150"/>
  <c r="V17" i="150"/>
  <c r="V12" i="150"/>
  <c r="Q48" i="150"/>
  <c r="Q43" i="150"/>
  <c r="Q42" i="150"/>
  <c r="Q41" i="150"/>
  <c r="Q37" i="150"/>
  <c r="Q33" i="150"/>
  <c r="Q32" i="150"/>
  <c r="Q31" i="150"/>
  <c r="Q30" i="150"/>
  <c r="Q29" i="150"/>
  <c r="Q28" i="150"/>
  <c r="Q27" i="150"/>
  <c r="Q24" i="150"/>
  <c r="Q26" i="150"/>
  <c r="Q25" i="150"/>
  <c r="Q23" i="150"/>
  <c r="Q16" i="150"/>
  <c r="Q13" i="150"/>
  <c r="Q14" i="150"/>
  <c r="M40" i="150"/>
  <c r="M34" i="150"/>
  <c r="M21" i="150"/>
  <c r="M15" i="150"/>
  <c r="M12" i="150"/>
  <c r="I46" i="150"/>
  <c r="I40" i="150"/>
  <c r="I34" i="150"/>
  <c r="I21" i="150"/>
  <c r="I12" i="150"/>
  <c r="E21" i="150"/>
  <c r="E34" i="150"/>
  <c r="E12" i="150"/>
  <c r="I79" i="149" l="1"/>
  <c r="Q80" i="149"/>
  <c r="H11" i="169"/>
  <c r="M21" i="149"/>
  <c r="Q21" i="149" s="1"/>
  <c r="M27" i="149"/>
  <c r="M47" i="149"/>
  <c r="Q47" i="149" s="1"/>
  <c r="Q54" i="149"/>
  <c r="Q34" i="150"/>
  <c r="Q12" i="150"/>
  <c r="M53" i="149"/>
  <c r="Q53" i="149" s="1"/>
  <c r="M57" i="149"/>
  <c r="Q57" i="149" s="1"/>
  <c r="K10" i="170"/>
  <c r="J10" i="170"/>
  <c r="K27" i="170"/>
  <c r="J27" i="170"/>
  <c r="K15" i="170"/>
  <c r="J15" i="170"/>
  <c r="H31" i="169"/>
  <c r="H40" i="169" s="1"/>
  <c r="K16" i="170"/>
  <c r="J16" i="170"/>
  <c r="K12" i="170"/>
  <c r="J12" i="170"/>
  <c r="G94" i="170"/>
  <c r="G34" i="170"/>
  <c r="H31" i="170"/>
  <c r="H33" i="170" s="1"/>
  <c r="H94" i="170" s="1"/>
  <c r="J24" i="170"/>
  <c r="H8" i="169"/>
  <c r="D33" i="169"/>
  <c r="H10" i="169"/>
  <c r="F18" i="169"/>
  <c r="Q42" i="149"/>
  <c r="E79" i="149"/>
  <c r="R13" i="154"/>
  <c r="I30" i="149"/>
  <c r="M78" i="149"/>
  <c r="E46" i="150"/>
  <c r="M51" i="149"/>
  <c r="Q51" i="149" s="1"/>
  <c r="Q40" i="150"/>
  <c r="E12" i="170" s="1"/>
  <c r="M69" i="149"/>
  <c r="Q69" i="149" s="1"/>
  <c r="Q66" i="149" s="1"/>
  <c r="I58" i="149"/>
  <c r="C31" i="170" s="1"/>
  <c r="C33" i="170" s="1"/>
  <c r="I76" i="149"/>
  <c r="Q46" i="149"/>
  <c r="M61" i="149"/>
  <c r="Q70" i="149"/>
  <c r="Q84" i="149"/>
  <c r="V44" i="150"/>
  <c r="Q15" i="150"/>
  <c r="E44" i="150"/>
  <c r="I44" i="150"/>
  <c r="M45" i="149"/>
  <c r="M20" i="149"/>
  <c r="M52" i="149"/>
  <c r="M44" i="150"/>
  <c r="Q50" i="149"/>
  <c r="Q21" i="150"/>
  <c r="I45" i="149" l="1"/>
  <c r="I44" i="149" s="1"/>
  <c r="Q79" i="149"/>
  <c r="E25" i="170"/>
  <c r="H34" i="170"/>
  <c r="AE13" i="153" s="1"/>
  <c r="AJ13" i="153" s="1"/>
  <c r="E55" i="170"/>
  <c r="G40" i="169"/>
  <c r="I40" i="169" s="1"/>
  <c r="J23" i="170"/>
  <c r="J31" i="170" s="1"/>
  <c r="J33" i="170" s="1"/>
  <c r="I31" i="170"/>
  <c r="I33" i="170" s="1"/>
  <c r="K23" i="170"/>
  <c r="K31" i="170" s="1"/>
  <c r="K33" i="170" s="1"/>
  <c r="E24" i="170"/>
  <c r="AW9" i="154"/>
  <c r="AZ9" i="154" s="1"/>
  <c r="AZ6" i="154"/>
  <c r="AG14" i="153"/>
  <c r="D61" i="170"/>
  <c r="D64" i="170" s="1"/>
  <c r="D65" i="170" s="1"/>
  <c r="E54" i="170"/>
  <c r="B31" i="170"/>
  <c r="B33" i="170" s="1"/>
  <c r="E11" i="170"/>
  <c r="D9" i="169"/>
  <c r="E10" i="170"/>
  <c r="F26" i="169"/>
  <c r="F52" i="169"/>
  <c r="F54" i="169" s="1"/>
  <c r="Q78" i="149"/>
  <c r="H47" i="169"/>
  <c r="H53" i="169"/>
  <c r="V50" i="150"/>
  <c r="V45" i="150" s="1"/>
  <c r="E91" i="149"/>
  <c r="E75" i="149"/>
  <c r="Q30" i="149"/>
  <c r="M66" i="149"/>
  <c r="Q61" i="149"/>
  <c r="Q58" i="149" s="1"/>
  <c r="M58" i="149"/>
  <c r="D32" i="169" s="1"/>
  <c r="I75" i="149"/>
  <c r="I91" i="149"/>
  <c r="Q27" i="149"/>
  <c r="M22" i="149"/>
  <c r="M7" i="149"/>
  <c r="Q52" i="149"/>
  <c r="M43" i="149"/>
  <c r="Q44" i="150"/>
  <c r="Q45" i="149" l="1"/>
  <c r="Q44" i="149"/>
  <c r="I43" i="149"/>
  <c r="Q43" i="149" s="1"/>
  <c r="AZ10" i="154"/>
  <c r="E61" i="170"/>
  <c r="E64" i="170" s="1"/>
  <c r="AW11" i="154"/>
  <c r="AZ11" i="154" s="1"/>
  <c r="G47" i="169"/>
  <c r="G53" i="169"/>
  <c r="I53" i="169" s="1"/>
  <c r="B20" i="169"/>
  <c r="E20" i="170"/>
  <c r="D11" i="169"/>
  <c r="D10" i="169"/>
  <c r="B42" i="169"/>
  <c r="B58" i="169" s="1"/>
  <c r="D43" i="169"/>
  <c r="D42" i="169" s="1"/>
  <c r="D58" i="169" s="1"/>
  <c r="F62" i="169"/>
  <c r="M74" i="149"/>
  <c r="E65" i="170" l="1"/>
  <c r="D21" i="169"/>
  <c r="D20" i="169"/>
  <c r="D57" i="169" s="1"/>
  <c r="D56" i="169" s="1"/>
  <c r="B57" i="169"/>
  <c r="B56" i="169" s="1"/>
  <c r="B40" i="169"/>
  <c r="B53" i="169" l="1"/>
  <c r="B47" i="169"/>
  <c r="F41" i="169"/>
  <c r="C40" i="148" l="1"/>
  <c r="C32" i="148" s="1"/>
  <c r="E32" i="148" l="1"/>
  <c r="E40" i="148"/>
  <c r="C38" i="148"/>
  <c r="E38" i="148" s="1"/>
  <c r="C30" i="148" l="1"/>
  <c r="J57" i="150"/>
  <c r="J46" i="150"/>
  <c r="J34" i="150"/>
  <c r="J21" i="150"/>
  <c r="J12" i="150"/>
  <c r="F57" i="150"/>
  <c r="F46" i="150"/>
  <c r="F40" i="150"/>
  <c r="F34" i="150"/>
  <c r="F21" i="150"/>
  <c r="F15" i="150"/>
  <c r="F12" i="150"/>
  <c r="B57" i="150"/>
  <c r="B46" i="150"/>
  <c r="B21" i="150"/>
  <c r="B12" i="150"/>
  <c r="J80" i="149"/>
  <c r="J79" i="149" s="1"/>
  <c r="J56" i="149"/>
  <c r="J55" i="149"/>
  <c r="J8" i="149"/>
  <c r="N26" i="149"/>
  <c r="N23" i="149"/>
  <c r="N24" i="149"/>
  <c r="N25" i="149"/>
  <c r="N13" i="149"/>
  <c r="N14" i="149"/>
  <c r="AS7" i="154"/>
  <c r="AS8" i="154"/>
  <c r="B141" i="155"/>
  <c r="B124" i="155"/>
  <c r="O12" i="154" s="1"/>
  <c r="J12" i="154"/>
  <c r="F12" i="154"/>
  <c r="B12" i="154"/>
  <c r="W10" i="154"/>
  <c r="B33" i="155"/>
  <c r="B25" i="155"/>
  <c r="J10" i="154" s="1"/>
  <c r="AB12" i="154"/>
  <c r="B237" i="157"/>
  <c r="AJ12" i="154" s="1"/>
  <c r="AJ13" i="154" s="1"/>
  <c r="B191" i="157"/>
  <c r="E30" i="148" l="1"/>
  <c r="AP12" i="154"/>
  <c r="H16" i="158"/>
  <c r="J16" i="158" s="1"/>
  <c r="F13" i="154"/>
  <c r="B13" i="154"/>
  <c r="AB13" i="154"/>
  <c r="O10" i="154"/>
  <c r="O11" i="154" s="1"/>
  <c r="O13" i="154" s="1"/>
  <c r="AS6" i="154"/>
  <c r="AS9" i="154" s="1"/>
  <c r="W9" i="154"/>
  <c r="W11" i="154" s="1"/>
  <c r="J11" i="154"/>
  <c r="J13" i="154" s="1"/>
  <c r="B44" i="150"/>
  <c r="J44" i="150"/>
  <c r="F44" i="150"/>
  <c r="B36" i="155"/>
  <c r="B42" i="155" s="1"/>
  <c r="B169" i="157"/>
  <c r="B170" i="157" s="1"/>
  <c r="W12" i="154" s="1"/>
  <c r="AP13" i="154" l="1"/>
  <c r="AT12" i="154"/>
  <c r="AT13" i="154" s="1"/>
  <c r="AR12" i="154"/>
  <c r="AS10" i="154"/>
  <c r="AS11" i="154" s="1"/>
  <c r="W13" i="154"/>
  <c r="B229" i="157"/>
  <c r="AF12" i="154" l="1"/>
  <c r="AF13" i="154" s="1"/>
  <c r="Q23" i="149"/>
  <c r="Q22" i="149" s="1"/>
  <c r="E22" i="149"/>
  <c r="B230" i="157"/>
  <c r="B13" i="156"/>
  <c r="B144" i="155" s="1"/>
  <c r="B5" i="156"/>
  <c r="B139" i="155" s="1"/>
  <c r="O49" i="171" l="1"/>
  <c r="P49" i="171" s="1"/>
  <c r="AI13" i="154"/>
  <c r="D31" i="170"/>
  <c r="E23" i="170"/>
  <c r="E31" i="170" s="1"/>
  <c r="O26" i="171"/>
  <c r="P26" i="171" s="1"/>
  <c r="B80" i="156"/>
  <c r="B134" i="155"/>
  <c r="S12" i="154" s="1"/>
  <c r="F78" i="149"/>
  <c r="F77" i="149"/>
  <c r="F61" i="149"/>
  <c r="F58" i="149" s="1"/>
  <c r="F20" i="149"/>
  <c r="S46" i="150"/>
  <c r="S34" i="150"/>
  <c r="S17" i="150"/>
  <c r="S12" i="150"/>
  <c r="S57" i="150"/>
  <c r="F94" i="149"/>
  <c r="F80" i="149"/>
  <c r="F70" i="149"/>
  <c r="F66" i="149"/>
  <c r="F52" i="149"/>
  <c r="F46" i="149"/>
  <c r="F45" i="149"/>
  <c r="F42" i="149"/>
  <c r="F31" i="149"/>
  <c r="V15" i="153"/>
  <c r="B94" i="149"/>
  <c r="B93" i="149"/>
  <c r="B84" i="149"/>
  <c r="B79" i="149" s="1"/>
  <c r="B76" i="149"/>
  <c r="B70" i="149"/>
  <c r="B66" i="149"/>
  <c r="B58" i="149"/>
  <c r="B43" i="149"/>
  <c r="B38" i="149"/>
  <c r="B35" i="149"/>
  <c r="B31" i="149"/>
  <c r="B22" i="149"/>
  <c r="B40" i="148"/>
  <c r="B32" i="148" s="1"/>
  <c r="B37" i="148"/>
  <c r="B34" i="148"/>
  <c r="F79" i="149" l="1"/>
  <c r="V16" i="153"/>
  <c r="I7" i="149"/>
  <c r="Q20" i="149"/>
  <c r="S21" i="150"/>
  <c r="S44" i="150" s="1"/>
  <c r="S50" i="150" s="1"/>
  <c r="F13" i="153" s="1"/>
  <c r="F93" i="149"/>
  <c r="C40" i="169"/>
  <c r="D31" i="169"/>
  <c r="D40" i="169" s="1"/>
  <c r="S13" i="154"/>
  <c r="F47" i="149"/>
  <c r="F43" i="149" s="1"/>
  <c r="B91" i="149"/>
  <c r="B146" i="155"/>
  <c r="B30" i="148"/>
  <c r="AO12" i="154" s="1"/>
  <c r="AO13" i="154" s="1"/>
  <c r="B75" i="149"/>
  <c r="F76" i="149"/>
  <c r="F30" i="149"/>
  <c r="B34" i="149"/>
  <c r="B30" i="149" s="1"/>
  <c r="F91" i="149" l="1"/>
  <c r="D43" i="158"/>
  <c r="C46" i="169"/>
  <c r="D32" i="170" s="1"/>
  <c r="C19" i="170"/>
  <c r="C21" i="170" s="1"/>
  <c r="I74" i="149"/>
  <c r="I92" i="149" s="1"/>
  <c r="B18" i="169"/>
  <c r="D53" i="169"/>
  <c r="H41" i="169"/>
  <c r="C53" i="169"/>
  <c r="G41" i="169"/>
  <c r="AS12" i="154"/>
  <c r="AS13" i="154" s="1"/>
  <c r="H14" i="158"/>
  <c r="J14" i="158" s="1"/>
  <c r="F75" i="149"/>
  <c r="D46" i="169" l="1"/>
  <c r="Z15" i="153"/>
  <c r="Z16" i="153" s="1"/>
  <c r="D60" i="158"/>
  <c r="D58" i="158" s="1"/>
  <c r="D61" i="158" s="1"/>
  <c r="D46" i="158"/>
  <c r="B26" i="169"/>
  <c r="B19" i="169"/>
  <c r="B52" i="169"/>
  <c r="B54" i="169" s="1"/>
  <c r="C34" i="170"/>
  <c r="C94" i="170"/>
  <c r="C95" i="170" s="1"/>
  <c r="I62" i="158" l="1"/>
  <c r="D66" i="169"/>
  <c r="E32" i="170"/>
  <c r="E33" i="170" s="1"/>
  <c r="D33" i="170"/>
  <c r="I47" i="158"/>
  <c r="AV13" i="154"/>
  <c r="AV12" i="154"/>
  <c r="B62" i="169"/>
  <c r="B63" i="169" s="1"/>
  <c r="F55" i="169"/>
  <c r="G43" i="158"/>
  <c r="G36" i="158"/>
  <c r="G12" i="158"/>
  <c r="G23" i="158"/>
  <c r="G41" i="158" l="1"/>
  <c r="G57" i="158" s="1"/>
  <c r="B28" i="148"/>
  <c r="B36" i="148"/>
  <c r="G35" i="158"/>
  <c r="G37" i="158"/>
  <c r="G14" i="158"/>
  <c r="G15" i="158"/>
  <c r="G13" i="158"/>
  <c r="J50" i="150"/>
  <c r="F50" i="150"/>
  <c r="I45" i="150" s="1"/>
  <c r="B50" i="150"/>
  <c r="R60" i="150"/>
  <c r="R58" i="150"/>
  <c r="R56" i="150"/>
  <c r="N56" i="150"/>
  <c r="R55" i="150"/>
  <c r="N55" i="150"/>
  <c r="R54" i="150"/>
  <c r="N54" i="150"/>
  <c r="R53" i="150"/>
  <c r="R57" i="150" s="1"/>
  <c r="N53" i="150"/>
  <c r="R50" i="150"/>
  <c r="R45" i="150" s="1"/>
  <c r="N49" i="150"/>
  <c r="N48" i="150"/>
  <c r="N47" i="150"/>
  <c r="S11" i="153"/>
  <c r="S10" i="153"/>
  <c r="S9" i="153"/>
  <c r="N43" i="150"/>
  <c r="R42" i="150"/>
  <c r="N42" i="150"/>
  <c r="N41" i="150"/>
  <c r="R40" i="150"/>
  <c r="N39" i="150"/>
  <c r="N38" i="150"/>
  <c r="N37" i="150"/>
  <c r="N36" i="150"/>
  <c r="N35" i="150"/>
  <c r="R34" i="150"/>
  <c r="R33" i="150"/>
  <c r="N33" i="150"/>
  <c r="N32" i="150"/>
  <c r="N31" i="150"/>
  <c r="R30" i="150"/>
  <c r="N30" i="150"/>
  <c r="R29" i="150"/>
  <c r="N29" i="150"/>
  <c r="R28" i="150"/>
  <c r="N28" i="150"/>
  <c r="R27" i="150"/>
  <c r="N27" i="150"/>
  <c r="R26" i="150"/>
  <c r="N26" i="150"/>
  <c r="R25" i="150"/>
  <c r="N25" i="150"/>
  <c r="R24" i="150"/>
  <c r="N24" i="150"/>
  <c r="R23" i="150"/>
  <c r="N23" i="150"/>
  <c r="R22" i="150"/>
  <c r="N22" i="150"/>
  <c r="N20" i="150"/>
  <c r="N19" i="150"/>
  <c r="R18" i="150"/>
  <c r="N18" i="150"/>
  <c r="R17" i="150"/>
  <c r="N17" i="150"/>
  <c r="N16" i="150"/>
  <c r="J27" i="149" s="1"/>
  <c r="R15" i="150"/>
  <c r="N14" i="150"/>
  <c r="N13" i="150"/>
  <c r="R12" i="150"/>
  <c r="C24" i="158"/>
  <c r="N90" i="149"/>
  <c r="B24" i="158" s="1"/>
  <c r="B21" i="158" s="1"/>
  <c r="N89" i="149"/>
  <c r="N88" i="149"/>
  <c r="N87" i="149"/>
  <c r="N86" i="149"/>
  <c r="N85" i="149"/>
  <c r="B44" i="158" s="1"/>
  <c r="B43" i="158" s="1"/>
  <c r="B60" i="158" s="1"/>
  <c r="N84" i="149"/>
  <c r="N83" i="149"/>
  <c r="N82" i="149"/>
  <c r="N81" i="149"/>
  <c r="S15" i="153"/>
  <c r="N73" i="149"/>
  <c r="N72" i="149"/>
  <c r="N71" i="149"/>
  <c r="N68" i="149"/>
  <c r="N67" i="149"/>
  <c r="N63" i="149"/>
  <c r="N62" i="149"/>
  <c r="N60" i="149"/>
  <c r="N56" i="149"/>
  <c r="N55" i="149"/>
  <c r="N54" i="149"/>
  <c r="N50" i="149"/>
  <c r="N49" i="149"/>
  <c r="N44" i="149"/>
  <c r="N42" i="149"/>
  <c r="N41" i="149"/>
  <c r="N40" i="149"/>
  <c r="N39" i="149"/>
  <c r="N37" i="149"/>
  <c r="N36" i="149"/>
  <c r="N35" i="149"/>
  <c r="N33" i="149"/>
  <c r="N32" i="149"/>
  <c r="F22" i="149"/>
  <c r="F7" i="149"/>
  <c r="C21" i="158" l="1"/>
  <c r="E24" i="158"/>
  <c r="J57" i="158"/>
  <c r="J55" i="158" s="1"/>
  <c r="J45" i="150"/>
  <c r="J51" i="150" s="1"/>
  <c r="J61" i="149"/>
  <c r="N61" i="149" s="1"/>
  <c r="N58" i="149" s="1"/>
  <c r="J45" i="149"/>
  <c r="N45" i="149" s="1"/>
  <c r="J53" i="149"/>
  <c r="N53" i="149" s="1"/>
  <c r="J57" i="149"/>
  <c r="N57" i="149" s="1"/>
  <c r="J22" i="149"/>
  <c r="N22" i="149" s="1"/>
  <c r="J94" i="149"/>
  <c r="N94" i="149" s="1"/>
  <c r="B45" i="150"/>
  <c r="B51" i="150" s="1"/>
  <c r="H13" i="158"/>
  <c r="J13" i="158" s="1"/>
  <c r="C44" i="158"/>
  <c r="E44" i="158" s="1"/>
  <c r="N57" i="150"/>
  <c r="C10" i="148"/>
  <c r="E10" i="148" s="1"/>
  <c r="J78" i="149"/>
  <c r="N78" i="149" s="1"/>
  <c r="B42" i="158" s="1"/>
  <c r="B41" i="158" s="1"/>
  <c r="B57" i="158" s="1"/>
  <c r="J47" i="149"/>
  <c r="J52" i="149"/>
  <c r="J77" i="149"/>
  <c r="J51" i="149"/>
  <c r="J21" i="149"/>
  <c r="N21" i="149" s="1"/>
  <c r="J10" i="153"/>
  <c r="F45" i="150"/>
  <c r="F51" i="150" s="1"/>
  <c r="B59" i="158"/>
  <c r="B58" i="158" s="1"/>
  <c r="N12" i="150"/>
  <c r="J20" i="149"/>
  <c r="N40" i="150"/>
  <c r="J69" i="149"/>
  <c r="B38" i="148"/>
  <c r="F74" i="149"/>
  <c r="G8" i="158"/>
  <c r="N80" i="149"/>
  <c r="N79" i="149" s="1"/>
  <c r="B16" i="148" s="1"/>
  <c r="N38" i="149"/>
  <c r="C20" i="158"/>
  <c r="E20" i="158" s="1"/>
  <c r="N15" i="150"/>
  <c r="N34" i="150"/>
  <c r="G11" i="158"/>
  <c r="N11" i="153"/>
  <c r="N13" i="153"/>
  <c r="W15" i="153"/>
  <c r="W16" i="153" s="1"/>
  <c r="N34" i="149"/>
  <c r="N70" i="149"/>
  <c r="C12" i="148"/>
  <c r="E12" i="148" s="1"/>
  <c r="R21" i="150"/>
  <c r="R44" i="150" s="1"/>
  <c r="R51" i="150" s="1"/>
  <c r="N21" i="150"/>
  <c r="N10" i="153"/>
  <c r="S12" i="153"/>
  <c r="S13" i="153"/>
  <c r="N46" i="150"/>
  <c r="N50" i="150"/>
  <c r="G34" i="158"/>
  <c r="G32" i="158"/>
  <c r="B23" i="148"/>
  <c r="G7" i="158"/>
  <c r="G9" i="158"/>
  <c r="G10" i="158"/>
  <c r="B21" i="148"/>
  <c r="G20" i="158"/>
  <c r="N31" i="149"/>
  <c r="N46" i="149"/>
  <c r="N48" i="149"/>
  <c r="C16" i="148" l="1"/>
  <c r="E16" i="148" s="1"/>
  <c r="C45" i="158"/>
  <c r="E45" i="158" s="1"/>
  <c r="C59" i="158"/>
  <c r="E21" i="158"/>
  <c r="E59" i="158" s="1"/>
  <c r="G33" i="158"/>
  <c r="H11" i="158"/>
  <c r="J11" i="158" s="1"/>
  <c r="C19" i="158"/>
  <c r="N27" i="149"/>
  <c r="J58" i="149"/>
  <c r="J93" i="149"/>
  <c r="N93" i="149" s="1"/>
  <c r="C32" i="158"/>
  <c r="E32" i="158" s="1"/>
  <c r="C31" i="158"/>
  <c r="E31" i="158" s="1"/>
  <c r="Q13" i="149"/>
  <c r="J76" i="149"/>
  <c r="J75" i="149" s="1"/>
  <c r="C42" i="158"/>
  <c r="E42" i="158" s="1"/>
  <c r="N51" i="149"/>
  <c r="N47" i="149"/>
  <c r="N77" i="149"/>
  <c r="B20" i="158" s="1"/>
  <c r="B19" i="158" s="1"/>
  <c r="B56" i="158" s="1"/>
  <c r="B55" i="158" s="1"/>
  <c r="N12" i="149"/>
  <c r="C7" i="148"/>
  <c r="E7" i="148" s="1"/>
  <c r="E45" i="150"/>
  <c r="Q50" i="150"/>
  <c r="N52" i="149"/>
  <c r="J43" i="149"/>
  <c r="C11" i="148"/>
  <c r="E11" i="148" s="1"/>
  <c r="AA10" i="153"/>
  <c r="H8" i="158"/>
  <c r="J8" i="158" s="1"/>
  <c r="G19" i="158"/>
  <c r="J66" i="149"/>
  <c r="N69" i="149"/>
  <c r="N66" i="149" s="1"/>
  <c r="B10" i="158" s="1"/>
  <c r="N20" i="149"/>
  <c r="J7" i="149"/>
  <c r="B22" i="148"/>
  <c r="G31" i="158"/>
  <c r="B27" i="148"/>
  <c r="N10" i="149"/>
  <c r="F92" i="149"/>
  <c r="B32" i="158"/>
  <c r="B12" i="148"/>
  <c r="B31" i="158"/>
  <c r="B10" i="148"/>
  <c r="B30" i="158"/>
  <c r="B7" i="148"/>
  <c r="G30" i="158"/>
  <c r="G16" i="158"/>
  <c r="N30" i="149"/>
  <c r="C15" i="148"/>
  <c r="E15" i="148" s="1"/>
  <c r="N45" i="150"/>
  <c r="N44" i="150"/>
  <c r="N9" i="153"/>
  <c r="S14" i="153"/>
  <c r="S16" i="153" s="1"/>
  <c r="C43" i="158" l="1"/>
  <c r="C60" i="158" s="1"/>
  <c r="C58" i="158" s="1"/>
  <c r="C56" i="158"/>
  <c r="E19" i="158"/>
  <c r="E56" i="158" s="1"/>
  <c r="AD10" i="153"/>
  <c r="M10" i="153"/>
  <c r="C41" i="158"/>
  <c r="G17" i="158"/>
  <c r="G25" i="158" s="1"/>
  <c r="N43" i="149"/>
  <c r="B9" i="158" s="1"/>
  <c r="J74" i="149"/>
  <c r="B20" i="148"/>
  <c r="N12" i="153"/>
  <c r="N14" i="153" s="1"/>
  <c r="Q12" i="149"/>
  <c r="C30" i="158"/>
  <c r="E30" i="158" s="1"/>
  <c r="J91" i="149"/>
  <c r="N91" i="149" s="1"/>
  <c r="H31" i="158"/>
  <c r="J31" i="158" s="1"/>
  <c r="N76" i="149"/>
  <c r="N75" i="149" s="1"/>
  <c r="H7" i="158"/>
  <c r="J7" i="158" s="1"/>
  <c r="C10" i="158"/>
  <c r="E10" i="158" s="1"/>
  <c r="V51" i="150"/>
  <c r="E51" i="150"/>
  <c r="C20" i="148"/>
  <c r="E20" i="148" s="1"/>
  <c r="C9" i="148"/>
  <c r="E9" i="148" s="1"/>
  <c r="B11" i="148"/>
  <c r="J9" i="153"/>
  <c r="AA9" i="153" s="1"/>
  <c r="S45" i="150"/>
  <c r="G56" i="158"/>
  <c r="B12" i="153"/>
  <c r="G39" i="158"/>
  <c r="G46" i="158" s="1"/>
  <c r="B26" i="148"/>
  <c r="B25" i="148" s="1"/>
  <c r="B39" i="158"/>
  <c r="B52" i="158" s="1"/>
  <c r="B8" i="158"/>
  <c r="B8" i="148"/>
  <c r="N51" i="150"/>
  <c r="C8" i="148"/>
  <c r="E8" i="148" s="1"/>
  <c r="S51" i="150" l="1"/>
  <c r="J13" i="153"/>
  <c r="AA13" i="153" s="1"/>
  <c r="E43" i="158"/>
  <c r="E60" i="158" s="1"/>
  <c r="E58" i="158" s="1"/>
  <c r="C57" i="158"/>
  <c r="C55" i="158" s="1"/>
  <c r="E41" i="158"/>
  <c r="E57" i="158" s="1"/>
  <c r="E55" i="158" s="1"/>
  <c r="AD11" i="153"/>
  <c r="M11" i="153"/>
  <c r="G51" i="158"/>
  <c r="B9" i="148"/>
  <c r="C39" i="158"/>
  <c r="B33" i="148"/>
  <c r="B39" i="148" s="1"/>
  <c r="Q10" i="149"/>
  <c r="H39" i="158"/>
  <c r="J39" i="158" s="1"/>
  <c r="J52" i="158" s="1"/>
  <c r="J92" i="149"/>
  <c r="B15" i="148"/>
  <c r="H10" i="158"/>
  <c r="J10" i="158" s="1"/>
  <c r="H9" i="158"/>
  <c r="J9" i="158" s="1"/>
  <c r="C9" i="158"/>
  <c r="E9" i="158" s="1"/>
  <c r="C8" i="158"/>
  <c r="E8" i="158" s="1"/>
  <c r="C25" i="148"/>
  <c r="E25" i="148" s="1"/>
  <c r="C17" i="148"/>
  <c r="E17" i="148" s="1"/>
  <c r="N11" i="149"/>
  <c r="F12" i="153"/>
  <c r="G52" i="158"/>
  <c r="G55" i="158"/>
  <c r="B14" i="153"/>
  <c r="J11" i="153"/>
  <c r="AA11" i="153" s="1"/>
  <c r="AA12" i="153" s="1"/>
  <c r="G40" i="158"/>
  <c r="B46" i="158"/>
  <c r="G47" i="158" s="1"/>
  <c r="AA14" i="153" l="1"/>
  <c r="F14" i="153"/>
  <c r="F15" i="153" s="1"/>
  <c r="F16" i="153" s="1"/>
  <c r="G53" i="158"/>
  <c r="G61" i="158" s="1"/>
  <c r="C52" i="158"/>
  <c r="E39" i="158"/>
  <c r="E52" i="158" s="1"/>
  <c r="C46" i="158"/>
  <c r="E46" i="158" s="1"/>
  <c r="B17" i="148"/>
  <c r="H46" i="158"/>
  <c r="J46" i="158" s="1"/>
  <c r="H40" i="158"/>
  <c r="J40" i="158" s="1"/>
  <c r="Q11" i="149"/>
  <c r="H52" i="158"/>
  <c r="H17" i="158"/>
  <c r="M13" i="153"/>
  <c r="C33" i="148"/>
  <c r="E33" i="148" s="1"/>
  <c r="J12" i="153"/>
  <c r="J14" i="153" s="1"/>
  <c r="J16" i="153" s="1"/>
  <c r="M12" i="153" l="1"/>
  <c r="I12" i="153"/>
  <c r="H25" i="158"/>
  <c r="J25" i="158" s="1"/>
  <c r="J17" i="158"/>
  <c r="AD9" i="153"/>
  <c r="AJ9" i="153" s="1"/>
  <c r="M9" i="153"/>
  <c r="H47" i="158"/>
  <c r="J47" i="158" s="1"/>
  <c r="B19" i="170"/>
  <c r="B21" i="170" s="1"/>
  <c r="H51" i="158"/>
  <c r="H53" i="158" s="1"/>
  <c r="H61" i="158" s="1"/>
  <c r="D19" i="170"/>
  <c r="D21" i="170" s="1"/>
  <c r="AD13" i="153"/>
  <c r="C39" i="148"/>
  <c r="E39" i="148" s="1"/>
  <c r="N9" i="149"/>
  <c r="N8" i="149" s="1"/>
  <c r="N7" i="149" s="1"/>
  <c r="B8" i="149"/>
  <c r="B7" i="149" s="1"/>
  <c r="B74" i="149" s="1"/>
  <c r="B92" i="149" s="1"/>
  <c r="M14" i="153" l="1"/>
  <c r="I15" i="153"/>
  <c r="I14" i="153"/>
  <c r="AD12" i="153"/>
  <c r="G39" i="148"/>
  <c r="D34" i="170"/>
  <c r="D94" i="170"/>
  <c r="E9" i="170"/>
  <c r="E19" i="170" s="1"/>
  <c r="E21" i="170" s="1"/>
  <c r="B94" i="170"/>
  <c r="B95" i="170" s="1"/>
  <c r="C96" i="170" s="1"/>
  <c r="B34" i="170"/>
  <c r="Q8" i="149"/>
  <c r="Q7" i="149" s="1"/>
  <c r="B7" i="158"/>
  <c r="B17" i="158" s="1"/>
  <c r="B6" i="148"/>
  <c r="B13" i="148" s="1"/>
  <c r="B18" i="148" s="1"/>
  <c r="N74" i="149"/>
  <c r="N15" i="153"/>
  <c r="N92" i="149"/>
  <c r="E34" i="170" l="1"/>
  <c r="E94" i="170"/>
  <c r="M16" i="153"/>
  <c r="AD14" i="153"/>
  <c r="O15" i="153"/>
  <c r="AE12" i="153"/>
  <c r="E8" i="149"/>
  <c r="C6" i="148"/>
  <c r="E6" i="148" s="1"/>
  <c r="Q74" i="149"/>
  <c r="B51" i="158"/>
  <c r="B53" i="158" s="1"/>
  <c r="B18" i="158"/>
  <c r="B25" i="158"/>
  <c r="N16" i="153"/>
  <c r="O16" i="153" l="1"/>
  <c r="AB15" i="153"/>
  <c r="AB16" i="153" s="1"/>
  <c r="AJ12" i="153"/>
  <c r="AE14" i="153"/>
  <c r="AJ14" i="153" s="1"/>
  <c r="E7" i="149"/>
  <c r="C7" i="158"/>
  <c r="E7" i="158" s="1"/>
  <c r="C13" i="148"/>
  <c r="E13" i="148" s="1"/>
  <c r="B61" i="158"/>
  <c r="G62" i="158" s="1"/>
  <c r="G54" i="158"/>
  <c r="C17" i="158" l="1"/>
  <c r="C18" i="158" s="1"/>
  <c r="E18" i="158" s="1"/>
  <c r="O20" i="171"/>
  <c r="E74" i="149"/>
  <c r="Q15" i="153"/>
  <c r="C18" i="148"/>
  <c r="O27" i="171" l="1"/>
  <c r="P20" i="171"/>
  <c r="C51" i="158"/>
  <c r="C53" i="158" s="1"/>
  <c r="C61" i="158" s="1"/>
  <c r="E17" i="158"/>
  <c r="E51" i="158" s="1"/>
  <c r="E53" i="158" s="1"/>
  <c r="E61" i="158" s="1"/>
  <c r="G18" i="148"/>
  <c r="E18" i="148"/>
  <c r="C25" i="158"/>
  <c r="C18" i="169"/>
  <c r="D8" i="169"/>
  <c r="D18" i="169" s="1"/>
  <c r="R74" i="149"/>
  <c r="E92" i="149"/>
  <c r="Q16" i="153"/>
  <c r="O32" i="171" l="1"/>
  <c r="P27" i="171"/>
  <c r="H54" i="158"/>
  <c r="H62" i="158"/>
  <c r="G40" i="148"/>
  <c r="E25" i="158"/>
  <c r="D52" i="169"/>
  <c r="D54" i="169" s="1"/>
  <c r="C52" i="169"/>
  <c r="C54" i="169" s="1"/>
  <c r="B16" i="153" l="1"/>
  <c r="AA15" i="153"/>
  <c r="AA16" i="153" s="1"/>
  <c r="AD16" i="153" l="1"/>
  <c r="AD15" i="153"/>
  <c r="I18" i="170"/>
  <c r="K18" i="170" l="1"/>
  <c r="J18" i="170"/>
  <c r="J19" i="170" s="1"/>
  <c r="J21" i="170" s="1"/>
  <c r="I19" i="170"/>
  <c r="H17" i="169"/>
  <c r="H18" i="169" s="1"/>
  <c r="G18" i="169"/>
  <c r="I18" i="169" s="1"/>
  <c r="AR13" i="154"/>
  <c r="K94" i="170" l="1"/>
  <c r="J34" i="170"/>
  <c r="I21" i="170"/>
  <c r="K19" i="170"/>
  <c r="K21" i="170" s="1"/>
  <c r="G26" i="169"/>
  <c r="G52" i="169"/>
  <c r="C19" i="169"/>
  <c r="H52" i="169"/>
  <c r="H54" i="169" s="1"/>
  <c r="H26" i="169"/>
  <c r="D19" i="169"/>
  <c r="M43" i="171"/>
  <c r="O44" i="171"/>
  <c r="J51" i="158"/>
  <c r="J53" i="158" s="1"/>
  <c r="K62" i="158"/>
  <c r="AV14" i="154"/>
  <c r="I34" i="170" l="1"/>
  <c r="I94" i="170"/>
  <c r="D95" i="170" s="1"/>
  <c r="I52" i="169"/>
  <c r="G54" i="169"/>
  <c r="H62" i="169"/>
  <c r="H55" i="169"/>
  <c r="O50" i="171"/>
  <c r="O52" i="171"/>
  <c r="N43" i="171"/>
  <c r="M44" i="171"/>
  <c r="M50" i="171" s="1"/>
  <c r="J54" i="158"/>
  <c r="J61" i="158"/>
  <c r="N44" i="171" l="1"/>
  <c r="P43" i="171"/>
  <c r="J94" i="170"/>
  <c r="E95" i="170" s="1"/>
  <c r="J62" i="158"/>
  <c r="G62" i="169"/>
  <c r="I54" i="169"/>
  <c r="G55" i="169"/>
  <c r="I55" i="169" s="1"/>
  <c r="M52" i="171"/>
  <c r="N52" i="171" s="1"/>
  <c r="P52" i="171" s="1"/>
  <c r="M54" i="171"/>
  <c r="N50" i="171" l="1"/>
  <c r="P44" i="171"/>
  <c r="H63" i="169"/>
  <c r="H65" i="169" s="1"/>
  <c r="D23" i="169"/>
  <c r="D45" i="169"/>
  <c r="D44" i="169" s="1"/>
  <c r="C22" i="169"/>
  <c r="C26" i="169" s="1"/>
  <c r="O54" i="171" l="1"/>
  <c r="P50" i="171"/>
  <c r="N54" i="171"/>
  <c r="C60" i="169"/>
  <c r="D22" i="169"/>
  <c r="D26" i="169" s="1"/>
  <c r="D61" i="169"/>
  <c r="D47" i="169"/>
  <c r="C44" i="169"/>
  <c r="D60" i="169" l="1"/>
  <c r="D59" i="169" s="1"/>
  <c r="D62" i="169" s="1"/>
  <c r="D63" i="169" s="1"/>
  <c r="C61" i="169"/>
  <c r="C59" i="169" s="1"/>
  <c r="C62" i="169" s="1"/>
  <c r="C47" i="169"/>
  <c r="D64" i="169" l="1"/>
  <c r="E96" i="170" s="1"/>
  <c r="C63" i="169"/>
  <c r="J95" i="170" l="1"/>
  <c r="D67" i="169"/>
  <c r="M46" i="150"/>
  <c r="M45" i="150" s="1"/>
  <c r="Q45" i="150" s="1"/>
  <c r="Q47" i="150"/>
  <c r="Q46" i="150" s="1"/>
  <c r="M77" i="149" l="1"/>
  <c r="M76" i="149" s="1"/>
  <c r="Q76" i="149" s="1"/>
  <c r="Q75" i="149" s="1"/>
  <c r="Q51" i="150"/>
  <c r="M91" i="149" l="1"/>
  <c r="M92" i="149" s="1"/>
  <c r="Q92" i="149" s="1"/>
  <c r="AD17" i="153" s="1"/>
  <c r="AD18" i="153" s="1"/>
  <c r="Q77" i="149"/>
  <c r="M75" i="149"/>
  <c r="Q91" i="149" l="1"/>
  <c r="R92" i="149" s="1"/>
</calcChain>
</file>

<file path=xl/sharedStrings.xml><?xml version="1.0" encoding="utf-8"?>
<sst xmlns="http://schemas.openxmlformats.org/spreadsheetml/2006/main" count="2867" uniqueCount="1368">
  <si>
    <t>Füred Dixiland Band támogatása</t>
  </si>
  <si>
    <t>4. Működési bevételek áfa visszatérülés (felhalm.)</t>
  </si>
  <si>
    <t>Zákonyi u. mélygarázs fenntartási ktg.</t>
  </si>
  <si>
    <t>Balatonfüred Kézilabda Sportjáért Közhasznú Alapítvány</t>
  </si>
  <si>
    <t>Balatonfüred Város Sportjáért Közhasznú Alapítvány</t>
  </si>
  <si>
    <t>EFOP-1.5.2-16-2017-00016 Humán közszolgáltatások fejlesztése az Észak-Balatoni térségben</t>
  </si>
  <si>
    <t>TOP-3.2.2-15-VE1-2016-00002 Biomassza alapú ORC erőmű Balatonfüred</t>
  </si>
  <si>
    <t>EFOP-4.1.8-16-2017-00140 A könyvtárral a tudásért - megújult épületben, korszerű technikával Balatonfüreden</t>
  </si>
  <si>
    <t>TOP-2.1.3-16-VE1-2017-00008 Balatonfüred csapadékcsatorna hálózatának fejlesztése</t>
  </si>
  <si>
    <t>GINOP-7.1.9-17-2017-0001 Gyógyhelyfejlesztés Balatonfüred Városában</t>
  </si>
  <si>
    <t>GINOP-7.1.6.16-2017-00004 Balaton-felvidéki Kultúrtáj Világörökség várományos helyszín turisztikai célú fejlesztése</t>
  </si>
  <si>
    <t xml:space="preserve">     TOP-3.2.2-15-VE1-2016-00002 Biomassza alapú ORC erőmű Balatonfüred</t>
  </si>
  <si>
    <t xml:space="preserve">      EFOP-1.5.2-16-2017-00016 Humán közszolgáltatások fejlesztése az Észak-Balatoni térségben</t>
  </si>
  <si>
    <t xml:space="preserve">     EFOP-4.1.8-16-2017-00140 A könyvtárral a tudásért - megújult épületben, korszerű technikával Balatonfüreden</t>
  </si>
  <si>
    <t xml:space="preserve">     TOP-2.1.3-16-VE1-2017-00008 Balatonfüred csapadékcsatorna hálózatának fejlesztése</t>
  </si>
  <si>
    <t xml:space="preserve">    GINOP-7.1.9-17-2017-0001 Gyógyhelyfejlesztés Balatonfüred Városában</t>
  </si>
  <si>
    <t xml:space="preserve">    GINOP-7.1.6.16-2017-00004 Balaton-felvidéki Kultúrtáj Világörökség várományos helyszín turisztikai célú fejlesztése</t>
  </si>
  <si>
    <t xml:space="preserve">Horgász Klubház </t>
  </si>
  <si>
    <t xml:space="preserve"> - Anna Grand Hotel fejlesztési támogatás</t>
  </si>
  <si>
    <t>4. Pénzforgalom nélküli kiadások (tartalék)</t>
  </si>
  <si>
    <t>Költségvetési hiány / többlet:</t>
  </si>
  <si>
    <t>71-es út forgalmi rend felülvizsgálat</t>
  </si>
  <si>
    <t>Utcai zöldterületek fejlesztése</t>
  </si>
  <si>
    <t>Stabilizált gyöngykavics burkolatok készítése</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</si>
  <si>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</si>
  <si>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</si>
  <si>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</si>
  <si>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</si>
  <si>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</si>
  <si>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</si>
  <si>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</si>
  <si>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</si>
  <si>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</si>
  <si>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</si>
  <si>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</si>
  <si>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</si>
  <si>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</si>
  <si>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</si>
  <si>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</si>
  <si>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</si>
  <si>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</si>
  <si>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</si>
  <si>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</si>
  <si>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</si>
  <si>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KÖLTSÉGVETÉSI SZERVEK ÖSSZESEN</t>
  </si>
  <si>
    <t>I. Működési célú támogatások államházatartáson belülről</t>
  </si>
  <si>
    <t>II. Közhatalmi bevételek</t>
  </si>
  <si>
    <t>3. Irányító szervi támogatások</t>
  </si>
  <si>
    <t>Létszámadatok intézményenként</t>
  </si>
  <si>
    <t>technikai állomány (fő)</t>
  </si>
  <si>
    <t>szakmai állomány (fő)</t>
  </si>
  <si>
    <t>közfoglalkoztatott (fő)</t>
  </si>
  <si>
    <t>Összesen (fő):</t>
  </si>
  <si>
    <t>Önkormányzat engedélyezett létszám</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</si>
  <si>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</si>
  <si>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</si>
  <si>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</si>
  <si>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</si>
  <si>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</si>
  <si>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</si>
  <si>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</si>
  <si>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</si>
  <si>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</si>
  <si>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</si>
  <si>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</si>
  <si>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</si>
  <si>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</si>
  <si>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</si>
  <si>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</si>
  <si>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</si>
  <si>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szociális étkeztetés</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</si>
  <si>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</si>
  <si>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</si>
  <si>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</si>
  <si>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</si>
  <si>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</si>
  <si>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</si>
  <si>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</si>
  <si>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</si>
  <si>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</si>
  <si>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</si>
  <si>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</si>
  <si>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</si>
  <si>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</si>
  <si>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</si>
  <si>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</si>
  <si>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</si>
  <si>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II.1.</t>
  </si>
  <si>
    <t>II.2.</t>
  </si>
  <si>
    <t>Gyermekétkeztetés támogatása (bértámogatás)</t>
  </si>
  <si>
    <t>Gyermekétkeztetés üzemeltetési  támogatása</t>
  </si>
  <si>
    <t>Iskolai étkeztetés támogatása (bértámogatás)</t>
  </si>
  <si>
    <t>III.3.</t>
  </si>
  <si>
    <t>Egyes szociális és gyermekjóléti feladatok támog.</t>
  </si>
  <si>
    <t>III.3. c.</t>
  </si>
  <si>
    <t>III.3. f.</t>
  </si>
  <si>
    <t>III.3. g.</t>
  </si>
  <si>
    <t>Önkormányzati hivatal működtetésének támogatás</t>
  </si>
  <si>
    <t>Nyilvános könyvtári feladatok támogatása</t>
  </si>
  <si>
    <t>Település üz-hez kapcsolódó feladatellát.támog.</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</si>
  <si>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</si>
  <si>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</si>
  <si>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</si>
  <si>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</si>
  <si>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</si>
  <si>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</si>
  <si>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</si>
  <si>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</si>
  <si>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Költségvetési szervek összesen:</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</si>
  <si>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</si>
  <si>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</si>
  <si>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</si>
  <si>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</si>
  <si>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</si>
  <si>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</si>
  <si>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</si>
  <si>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</si>
  <si>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</si>
  <si>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</si>
  <si>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</si>
  <si>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</si>
  <si>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Összesen:</t>
  </si>
  <si>
    <t>1. Személyi juttatás</t>
  </si>
  <si>
    <t>2. Munkaadót terhelő járulékok</t>
  </si>
  <si>
    <t>3. Dologi kiadások</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</si>
  <si>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</si>
  <si>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</si>
  <si>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</si>
  <si>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</si>
  <si>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</si>
  <si>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</si>
  <si>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1. Személyi juttatások</t>
  </si>
  <si>
    <t xml:space="preserve">  Képviselő-testület személyi juttatásai</t>
  </si>
  <si>
    <t xml:space="preserve">  Városi Kitüntetések</t>
  </si>
  <si>
    <t xml:space="preserve">  Megbízási díjak</t>
  </si>
  <si>
    <t xml:space="preserve">  Ösztöndíjak</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</si>
  <si>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</si>
  <si>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</si>
  <si>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</si>
  <si>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</si>
  <si>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</si>
  <si>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</si>
  <si>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</si>
  <si>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</si>
  <si>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</si>
  <si>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</si>
  <si>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</si>
  <si>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</si>
  <si>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</si>
  <si>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</si>
  <si>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4. Ellátottak pénzbeli juttatásai</t>
  </si>
  <si>
    <t>Rendkívüli gyermekvédelmi támogatás</t>
  </si>
  <si>
    <t>Átm szociális segély (kölcsön)</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</si>
  <si>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</si>
  <si>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</si>
  <si>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</si>
  <si>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</si>
  <si>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</si>
  <si>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</si>
  <si>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</si>
  <si>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</si>
  <si>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</si>
  <si>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</si>
  <si>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</si>
  <si>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</si>
  <si>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</si>
  <si>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</si>
  <si>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</si>
  <si>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</si>
  <si>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</si>
  <si>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Intézményi elkülönített keret</t>
  </si>
  <si>
    <t>TOP-4.1.1.-15 VE Egészségügyi alapellátás infrastruktúrális fejlesztése pályázat előkészítés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</si>
  <si>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</si>
  <si>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</si>
  <si>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</si>
  <si>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</si>
  <si>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</si>
  <si>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</si>
  <si>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</si>
  <si>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</si>
  <si>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</si>
  <si>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QUASIMODO Alapítvány</t>
  </si>
  <si>
    <t>Fordítóház Alapítvány</t>
  </si>
  <si>
    <t>SOS Alapítvány Vállalkozásfejlesztő Aliroda</t>
  </si>
  <si>
    <t>Balatonfüred Református Egyházközség</t>
  </si>
  <si>
    <t>Balatonfüred-Arács Református Egyházközség</t>
  </si>
  <si>
    <t>Balatonfüred-Dörgicse Evangélikus Egyházközség</t>
  </si>
  <si>
    <t>Római Katolikus Plébánia</t>
  </si>
  <si>
    <t>Polgármesteri keret</t>
  </si>
  <si>
    <t>Alpolgármesteri keret</t>
  </si>
  <si>
    <t>Képviselői keret</t>
  </si>
  <si>
    <t>Érzékeny Gyermekeinkét Alapít. (liszt és szűróvizsgálat is)</t>
  </si>
  <si>
    <t>Gitár fesztivál-Balatonfüredi Nemzetközi Gitárfesztivál Alapítvány</t>
  </si>
  <si>
    <t>Reformkori Hagyományőrzők Egyesülete</t>
  </si>
  <si>
    <t>"S.O.S. és Könyvelő" Szociálisan Rászorultakat Segítő Kft</t>
  </si>
  <si>
    <t xml:space="preserve">Sportesemények támogatása: Magyar Vitorlás Szövetség Kékszalag Fesztivál </t>
  </si>
  <si>
    <t>Balatonfüred Kulturális Nonprofit Kft.</t>
  </si>
  <si>
    <t>Múzsák Egyesülete Sirály táncfesztivál</t>
  </si>
  <si>
    <t>Arácsi Népház karbantartás felújítási alap terhére</t>
  </si>
  <si>
    <t>GINOP 7.1.9-17. pályázathoz engedélyezési és kiviteli tervek</t>
  </si>
  <si>
    <t>BALATONFÜREDI KÖZÖS ÖNKORMÁNYZATI HIVATAL</t>
  </si>
  <si>
    <t>Balatonfüredi Közös Önkormányzati Hivatal</t>
  </si>
  <si>
    <t>Lipták Gábor Városi Könyvtár</t>
  </si>
  <si>
    <t>LIPTÁK GÁBOR VÁROSI KÖNYVTÁR</t>
  </si>
  <si>
    <t>I.  Balatonfüredi Közös Önkormányzati Hivatal költségvetése</t>
  </si>
  <si>
    <t xml:space="preserve">Üzletrész vásárlás részletek </t>
  </si>
  <si>
    <t>Balatonfüredi Néptánc Egyesület</t>
  </si>
  <si>
    <t>Rákóczy Szövetség</t>
  </si>
  <si>
    <t>Füred Studió Kft.</t>
  </si>
  <si>
    <t>Siloam Református Otthon támogatása</t>
  </si>
  <si>
    <t>Konferencia Központ Kft.</t>
  </si>
  <si>
    <t>Balaton Best Nonprofit Kft.</t>
  </si>
  <si>
    <t>I. Kötelezettséggel terhelt fejlesztések</t>
  </si>
  <si>
    <t>Forgatási célú értékpapír vásárlás</t>
  </si>
  <si>
    <t xml:space="preserve"> - Lakásépítés, -vásárlás kölcsön (dolgozói + lakáshoz jutás tám.)</t>
  </si>
  <si>
    <t>Tervek, megvalósítási tanulmányok, pályázatok</t>
  </si>
  <si>
    <t>I. összesen:</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</si>
  <si>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</si>
  <si>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</si>
  <si>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</si>
  <si>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</si>
  <si>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</si>
  <si>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</si>
  <si>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Részesedések beszerzése:</t>
  </si>
  <si>
    <t>II. összesen:</t>
  </si>
  <si>
    <t>I+II. összesen:</t>
  </si>
  <si>
    <t xml:space="preserve">    Informatikai fejlesztések (kisértékű, nagyértékű)</t>
  </si>
  <si>
    <t>Felhalmozási célú visszatérítendő támogatások, kölcsönök nyújtása áh-n kívülre</t>
  </si>
  <si>
    <t>Egyéb felhalmozási célú támogatások áh-n belülre</t>
  </si>
  <si>
    <t>Egyéb felhalmozási célú támogatások áh-n kívülre</t>
  </si>
  <si>
    <t>Ebből: bérleti díjak</t>
  </si>
  <si>
    <t xml:space="preserve">      - Köztársaság u. 19. (panelprogram 8/2009.)</t>
  </si>
  <si>
    <t xml:space="preserve">      - Köztársaság u. 17. (panelprogram 9/2009.)</t>
  </si>
  <si>
    <t xml:space="preserve">      - Köztársaság u. 1. (panelprogram 12/2009.)</t>
  </si>
  <si>
    <t>III. összesen:</t>
  </si>
  <si>
    <t>I+II+III. összesen:</t>
  </si>
  <si>
    <t>IV. Finanszírozási kiadások</t>
  </si>
  <si>
    <t>Hitel törlesztés</t>
  </si>
  <si>
    <t>IV. Finanszírozási kiadások összesen:</t>
  </si>
  <si>
    <t>V. Felújítások</t>
  </si>
  <si>
    <t>Lakásfelújítás</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</si>
  <si>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</si>
  <si>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</si>
  <si>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</si>
  <si>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</si>
  <si>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</si>
  <si>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</si>
  <si>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</si>
  <si>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</si>
  <si>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</si>
  <si>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</si>
  <si>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</si>
  <si>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</si>
  <si>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</si>
  <si>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</si>
  <si>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</si>
  <si>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</si>
  <si>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</si>
  <si>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</si>
  <si>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</si>
  <si>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</si>
  <si>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</si>
  <si>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</si>
  <si>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</si>
  <si>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</si>
  <si>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</si>
  <si>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</si>
  <si>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</si>
  <si>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</si>
  <si>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</si>
  <si>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</si>
  <si>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</si>
  <si>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</si>
  <si>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</si>
  <si>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</si>
  <si>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</si>
  <si>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</si>
  <si>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</si>
  <si>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ELŐIRÁNYZAT</t>
  </si>
  <si>
    <t xml:space="preserve"> Felhalmozási hiány: </t>
  </si>
  <si>
    <t>Költségvetési hiány belső finanszírozása felhalmozási célú</t>
  </si>
  <si>
    <t>Finanszírozási célú műveletek kiadásai felhalmozási célú</t>
  </si>
  <si>
    <t>4.Költségvetési maradvány</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</si>
  <si>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</si>
  <si>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</si>
  <si>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</si>
  <si>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</si>
  <si>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</si>
  <si>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</si>
  <si>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</si>
  <si>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</si>
  <si>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</si>
  <si>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</si>
  <si>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</si>
  <si>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</si>
  <si>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</si>
  <si>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</si>
  <si>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</si>
  <si>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</si>
  <si>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</si>
  <si>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</si>
  <si>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</si>
  <si>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MEGNEVEZÉS</t>
  </si>
  <si>
    <t xml:space="preserve">ÁLLAMI TÁMOGATÁS </t>
  </si>
  <si>
    <t xml:space="preserve">      2.3.3. Települési adó</t>
  </si>
  <si>
    <t>Egyéb önkormányzati feladatok támogatása</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</si>
  <si>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</si>
  <si>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</si>
  <si>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</si>
  <si>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</si>
  <si>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</si>
  <si>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</si>
  <si>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</si>
  <si>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</si>
  <si>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</si>
  <si>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</si>
  <si>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</si>
  <si>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</si>
  <si>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</si>
  <si>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</si>
  <si>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</si>
  <si>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</si>
  <si>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</si>
  <si>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TARTALÉKOK</t>
  </si>
  <si>
    <t>5.1. Elvonások, befizetések</t>
  </si>
  <si>
    <t>5.2. Egyéb működési célú támogatások áh-n belülre</t>
  </si>
  <si>
    <t>5.4. Egyéb működési célú támogatások áh-n kívülre</t>
  </si>
  <si>
    <t>5.5. Működési célú visszatérítendő támogatások, kölcsönök nyújtása áh-n kívülre</t>
  </si>
  <si>
    <t>8. Hitelek törlesztése</t>
  </si>
  <si>
    <t>4. Államháztartáson belüli megelőlegezések</t>
  </si>
  <si>
    <t xml:space="preserve">  Rendezvényekhez kapcsolódó személyi</t>
  </si>
  <si>
    <t xml:space="preserve">  Rendezvényekhez kapcsolódó járulék és kifizetői adó</t>
  </si>
  <si>
    <t xml:space="preserve">EREDETI EI. </t>
  </si>
  <si>
    <t>Könyvtári érdekeltségnövelő</t>
  </si>
  <si>
    <t>Elszámolásból származó bevételek</t>
  </si>
  <si>
    <t>IV.1.i.</t>
  </si>
  <si>
    <t>Helyi Önkormányzatok kiegészítő támogatásai (működési)</t>
  </si>
  <si>
    <t xml:space="preserve"> - Füredkult. Kft. fejlesztési támogatás</t>
  </si>
  <si>
    <t>Forgatási célú értékpapír vásárlása</t>
  </si>
  <si>
    <t>10. Forgatási célú értékpapír vásárlás</t>
  </si>
  <si>
    <t>8. Állami támogatás megelőlegezés visszafizetése</t>
  </si>
  <si>
    <t>9. Betét vásárlás</t>
  </si>
  <si>
    <t>Felhalmozási célú visszatérítendő támogatások, kölcsönök nyújtása áh-n belülre</t>
  </si>
  <si>
    <t>3.3. Felhalmozási célú visszatérítendő támogatások, kölcsönök nyújtása áh-n belülre</t>
  </si>
  <si>
    <t>2.</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</si>
  <si>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</si>
  <si>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</si>
  <si>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</si>
  <si>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</si>
  <si>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</si>
  <si>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</si>
  <si>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</si>
  <si>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</si>
  <si>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</si>
  <si>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</si>
  <si>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Védett szőlők támogatása</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</si>
  <si>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</si>
  <si>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</si>
  <si>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</si>
  <si>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</si>
  <si>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</si>
  <si>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</si>
  <si>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</si>
  <si>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II. Javasolt fejlesztések</t>
  </si>
  <si>
    <t>III. Egyéb felhalmozási kiadások</t>
  </si>
  <si>
    <t xml:space="preserve">    1.1. Előző év költségvetési maradványának  igénybevétele működési célra</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</si>
  <si>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</si>
  <si>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</si>
  <si>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</si>
  <si>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</si>
  <si>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</si>
  <si>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</si>
  <si>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</si>
  <si>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</si>
  <si>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</si>
  <si>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</si>
  <si>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</si>
  <si>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</si>
  <si>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</si>
  <si>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</si>
  <si>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</si>
  <si>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</si>
  <si>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</si>
  <si>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</si>
  <si>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</si>
  <si>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</si>
  <si>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</si>
  <si>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</si>
  <si>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</si>
  <si>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</si>
  <si>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</si>
  <si>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</si>
  <si>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</si>
  <si>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</si>
  <si>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</si>
  <si>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</si>
  <si>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</si>
  <si>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</si>
  <si>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</si>
  <si>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</si>
  <si>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</si>
  <si>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</si>
  <si>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</si>
  <si>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</si>
  <si>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</si>
  <si>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</si>
  <si>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</si>
  <si>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</si>
  <si>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ÖNKORMÁNYZAT</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</si>
  <si>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</si>
  <si>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</si>
  <si>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</si>
  <si>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</si>
  <si>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</si>
  <si>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</si>
  <si>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</si>
  <si>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</si>
  <si>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</si>
  <si>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</si>
  <si>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</si>
  <si>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</si>
  <si>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</si>
  <si>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</si>
  <si>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</si>
  <si>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</si>
  <si>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</si>
  <si>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</si>
  <si>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</si>
  <si>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</si>
  <si>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</si>
  <si>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</si>
  <si>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</si>
  <si>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</si>
  <si>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</si>
  <si>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</si>
  <si>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</si>
  <si>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</si>
  <si>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</si>
  <si>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</si>
  <si>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</si>
  <si>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</si>
  <si>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</si>
  <si>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</si>
  <si>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</si>
  <si>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</si>
  <si>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</si>
  <si>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</si>
  <si>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</si>
  <si>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</si>
  <si>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Lóczy L. u. 52. ingatlan felújítás</t>
  </si>
  <si>
    <t>Forgalomtechnikai feladatok tervezése</t>
  </si>
  <si>
    <t>Vizes VB parkolófejlesztés Zákonyi mélygarázs</t>
  </si>
  <si>
    <t>1.7. Vis major</t>
  </si>
  <si>
    <t>Cimbora Alapítvány az Egészséges és Kulturált Gyermekekért</t>
  </si>
  <si>
    <t>Zöldterület-gazdálk-al kapcsolatos feladatok ellátásának támog. (HA)</t>
  </si>
  <si>
    <t xml:space="preserve">     házi segítségnyújtás - szociális segítés</t>
  </si>
  <si>
    <t xml:space="preserve">       TOP-1.1.2-15 Balatonfüred és Balatonalmádi közös helyi foglalkoztatási együttműködés</t>
  </si>
  <si>
    <t>Aszófői útnál belterületbe vont ingatlanok közművesítése</t>
  </si>
  <si>
    <t>Államháztartáson belüli megelőlegezés visszafizetés</t>
  </si>
  <si>
    <t xml:space="preserve"> - Veszprém Kereszténységért Közhasznú Alapítvány Horváth Balázs broznz dombormű</t>
  </si>
  <si>
    <t>Arculati Kézikönyv</t>
  </si>
  <si>
    <t>4. Értékpapírok vásárlása</t>
  </si>
  <si>
    <t>5. Egyéb működési célú kiadások áh-n belülre</t>
  </si>
  <si>
    <r>
      <t xml:space="preserve">    </t>
    </r>
    <r>
      <rPr>
        <sz val="10"/>
        <rFont val="Arial"/>
        <family val="2"/>
        <charset val="238"/>
      </rPr>
      <t>1.1. Előző év költségvetési maradványának  igénybevétele működési célra</t>
    </r>
  </si>
  <si>
    <t xml:space="preserve">  Közfoglalkoztatás +diákmunka</t>
  </si>
  <si>
    <t>Panelprogram támogatás</t>
  </si>
  <si>
    <t xml:space="preserve">    finansz.szempontjából elismert szakmai dolgozók bértámogatása: felsőfokú végzettségű kisgyermeknevelők,szaktanácsadók</t>
  </si>
  <si>
    <t xml:space="preserve">    finansz.szempontjából elismert szakmai dolgozók bértámogatása: bölcsödei dajkák, középfokú végzettségű kisgyermeknevelők, szaktanácsadók</t>
  </si>
  <si>
    <t>Létszám</t>
  </si>
  <si>
    <t>II.4.a</t>
  </si>
  <si>
    <t>Finansz.szempontjából elismert szakmai dolgozók bértámogatása: felsőfokú végzettségű kisgyermeknevelők,szaktanácsadók</t>
  </si>
  <si>
    <t>Finansz.szempontjából elismert szakmai dolgozók bértámogatása: bölcsödei dajkák, középfokú végzettségű kisgyermeknevelők, szaktanácsadók</t>
  </si>
  <si>
    <t>I.1.a.</t>
  </si>
  <si>
    <t>Önkormányzati Tűzoltóság tagdíj</t>
  </si>
  <si>
    <t>Arácsi Református Egyházközség (óvoda)</t>
  </si>
  <si>
    <t>V. összesen:</t>
  </si>
  <si>
    <t>TOP-1.2.1.-15 Széchenyi strand fejlesztése</t>
  </si>
  <si>
    <t>TOP-1.1.1.-15 Térségi kihatással bíró ipartelepítés infrastrukturálás feltételeinek megteremtése</t>
  </si>
  <si>
    <t>TOP-4.1.1.-15 Egészségügyi alapellátás fejlesztése Balatonfüreden</t>
  </si>
  <si>
    <t>Annagóra Park Bevásárlóközpont Társasház 41,11 % tulajdoni hányad megvásárlása</t>
  </si>
  <si>
    <t>Ingatlanok vásárlása közpark részére (071/76,069/27-069/30,071/68,071/70,071/101,071/102</t>
  </si>
  <si>
    <t xml:space="preserve"> - Észak-Balatoni Regionális Konferencia Központ Kft.</t>
  </si>
  <si>
    <t xml:space="preserve"> - Balatonfüredi Református Egyházközség (gyülekezeti rész konyha, mosdó teljes felújítás, burkolat, víz, gáz, elektromos vezeték)</t>
  </si>
  <si>
    <t xml:space="preserve">Társasházak vissza nem térítendő támogatás </t>
  </si>
  <si>
    <t xml:space="preserve"> - Balatonfüred Tamási Áron u. 27.</t>
  </si>
  <si>
    <t xml:space="preserve"> - Balatonfüred Arad u. 16.</t>
  </si>
  <si>
    <t xml:space="preserve"> - Balatonfüred Arad u. 22.</t>
  </si>
  <si>
    <t xml:space="preserve"> - Balatonfüred Csárda u. 11.</t>
  </si>
  <si>
    <t xml:space="preserve"> - Balatonfüred Hársköz1.</t>
  </si>
  <si>
    <t>Szünidei szociális gyermekétkeztetés</t>
  </si>
  <si>
    <t>II.4.b</t>
  </si>
  <si>
    <t xml:space="preserve">  ebből: támogatott projektek</t>
  </si>
  <si>
    <t>BALATONFÜREDI VÁROSI SZAKORVOSI RENDELŐINTÉZET</t>
  </si>
  <si>
    <t>Balatonfüredi Városi Szakorvosi Rendelőintézet</t>
  </si>
  <si>
    <t>Balatonfüredi Városi Bölcsőde</t>
  </si>
  <si>
    <t>Lipták Gábor Városi Könyvtár összesen:</t>
  </si>
  <si>
    <t>Balatonfüredi Közös Önkormányzati Hivatal összesen:</t>
  </si>
  <si>
    <t>Balatonfüredi Szociális Alapszolgáltatási Központ összesen:</t>
  </si>
  <si>
    <t>Kökörcsin Tagóvoda összesen:</t>
  </si>
  <si>
    <t>Balatonfüredi Tündérkert óvoda összesen:</t>
  </si>
  <si>
    <t>Balatonfüredi Óvárosi óvoda összesen:</t>
  </si>
  <si>
    <t>Balatonfüredi Kiserdei óvoda összesen:</t>
  </si>
  <si>
    <t>BALATONFÜREDI VÁROSI BÖLCSŐDE</t>
  </si>
  <si>
    <t>Útépítések 2018. év</t>
  </si>
  <si>
    <t>közvilágítás bővítés</t>
  </si>
  <si>
    <t>Játszótéri eszközök pótlása, korszerűsítése, bővítése</t>
  </si>
  <si>
    <t>Hulladékgyűjtők, kutyapiszok gyűjtők cseréje, szóróanyagtároló beszerzése</t>
  </si>
  <si>
    <t>Széchenyi Park emléktáblák felújítás I. ütem</t>
  </si>
  <si>
    <t>Zákonyi sétány BYC előtti " fadobogó " felújítása</t>
  </si>
  <si>
    <t>Kovászna Parkban vízkivételi mű létesítése</t>
  </si>
  <si>
    <t>településrendezési eszközök</t>
  </si>
  <si>
    <t xml:space="preserve">     házi segítségnyújtás - személyi gondozás - társuál által történő feladatellátás</t>
  </si>
  <si>
    <t>III.3. da</t>
  </si>
  <si>
    <t>III.3. g(2)</t>
  </si>
  <si>
    <t>III.3. g (4)</t>
  </si>
  <si>
    <t>III.3. g (6)</t>
  </si>
  <si>
    <t>3. Egyéb közhatalmi bevételek  (bírság, pótlék, településrendezési szerz.)</t>
  </si>
  <si>
    <t>Zsinagóga felújítási alap</t>
  </si>
  <si>
    <t xml:space="preserve">      óvodákban évközben jelentkező SNI többletktg.</t>
  </si>
  <si>
    <t>Gyermekétkeztetés iskolákban</t>
  </si>
  <si>
    <t>Zsinagóga építés</t>
  </si>
  <si>
    <t>072 hrsz-ú ingatlan megvásárlása 2016. évi ütem</t>
  </si>
  <si>
    <t>Probio Zrt közszolgáltatási feladatok</t>
  </si>
  <si>
    <t xml:space="preserve"> -Kripta Csaba Bfüred Itató köz 5. helyi védett épüle felújítása tám. 411/2017.(XII.14.)</t>
  </si>
  <si>
    <t>7. Államháztartáson belüli megelőlegezés visszafizetése</t>
  </si>
  <si>
    <t>6. Államháztartáson belüli megelőlegezés visszafizetése</t>
  </si>
  <si>
    <t xml:space="preserve">   2.1. Forgatási célú értékpapírok beváltása, értékesítése</t>
  </si>
  <si>
    <t>2. 2018. évről áthúzódó és 2019. évi bérkompenzáció támogatása</t>
  </si>
  <si>
    <t>Óvodai és iskolai szociális segítő tevékenység</t>
  </si>
  <si>
    <t>Gyermekek napközbeni ellátása</t>
  </si>
  <si>
    <t xml:space="preserve">   bölcsődei üzemeltetési támogatás</t>
  </si>
  <si>
    <t>Szociális ágazati összevont pótlék</t>
  </si>
  <si>
    <t>Kulturális illetménypótlék</t>
  </si>
  <si>
    <t>2019. évi lakosssági víz- és csatornatámogatás</t>
  </si>
  <si>
    <t>III. 5.aa</t>
  </si>
  <si>
    <t>III. 5.ab</t>
  </si>
  <si>
    <t>III.6. a (1)</t>
  </si>
  <si>
    <t>III.6. a (2)</t>
  </si>
  <si>
    <t>III.6. b.</t>
  </si>
  <si>
    <t>bölcsődei üzemeltetési támogatás</t>
  </si>
  <si>
    <t>III.1.</t>
  </si>
  <si>
    <t>IV.3.</t>
  </si>
  <si>
    <t>I.1.b.</t>
  </si>
  <si>
    <t>I.1.ba.</t>
  </si>
  <si>
    <t>I.1.bb.</t>
  </si>
  <si>
    <t>I.1.bc.</t>
  </si>
  <si>
    <t>I.1.bd.</t>
  </si>
  <si>
    <t>I.1.c.</t>
  </si>
  <si>
    <t>I.1.d.</t>
  </si>
  <si>
    <t>I.1.e.</t>
  </si>
  <si>
    <t>III. 5.b.</t>
  </si>
  <si>
    <t>A rászoruló gyermekek int. kívüli szünidei étk. támogatása</t>
  </si>
  <si>
    <t>II.4.</t>
  </si>
  <si>
    <t>I.11</t>
  </si>
  <si>
    <t>Kisértékű tárgyi eszközök</t>
  </si>
  <si>
    <t>I. Balatonfüredi Közös Önkormányzati Hivatal összesen:</t>
  </si>
  <si>
    <t>II.  Balatonfüred Város Önkormányzat költségvetése</t>
  </si>
  <si>
    <t>TOP-2.1.2-16-VE1-2017-00009 azonosítószámú, Balatonfüred Ófalu fejlesztése dologi kiadás 2018.</t>
  </si>
  <si>
    <t>Zsidó Kiválóságok Háza Alapítvány</t>
  </si>
  <si>
    <t>Információs táblák 2018.</t>
  </si>
  <si>
    <t>Autóbusz várók 2018.</t>
  </si>
  <si>
    <t>Zöldterület fejlesztés 2018.</t>
  </si>
  <si>
    <t>Brázay étterem, csónakkikötő tervezés előkészítés</t>
  </si>
  <si>
    <t>Bajcsy-Zs. U. és Vázsonyi út közötti szakasz útépítési engedélyezési terv felülvizsgálata</t>
  </si>
  <si>
    <t>P. Horváth Á. U. közművek tervezése</t>
  </si>
  <si>
    <t xml:space="preserve">Ófalu településrész fejlesztése ingatlanok megvásárlása </t>
  </si>
  <si>
    <t>TOP-2.1.2-16-VE1-2017-00009 azonosítószámú, Balatonfüred Ófalu fejlesztése</t>
  </si>
  <si>
    <t>Zákonyi mélygarázs felett B épület</t>
  </si>
  <si>
    <t>Zákonyi mélygarázs felett D épület</t>
  </si>
  <si>
    <t>Balaton első négyévszakos családi élményháza Balatonfüreden 2018-2019. önrész</t>
  </si>
  <si>
    <t>Balatonfüred felhagyott zsidó temető rehabilitációja</t>
  </si>
  <si>
    <t>Népi építészeti emlékek helyreállítása Lóczy L. u. 101. tájház</t>
  </si>
  <si>
    <t xml:space="preserve"> Lóczy L. u. 101. kerítés</t>
  </si>
  <si>
    <t>Iskola u. 2. környezetrendezés</t>
  </si>
  <si>
    <t>Balatonfüredi Református Iskola energiahatékonysági felújítás kiegészítő műszaki tartalom kivitelezése</t>
  </si>
  <si>
    <t>2381 hrsz-ú ingatlan kisajátítás előtti vétel (Öreghegyi u.)</t>
  </si>
  <si>
    <t>Papsoka felhagyott temetők felújítása III. ütemben történő rehabilitációja</t>
  </si>
  <si>
    <t>P. Horváth Á. Utca (járda, légvezeték)</t>
  </si>
  <si>
    <t>Légvezeték kiváltás</t>
  </si>
  <si>
    <t>Hulladékgyűjtők, utcabútorok cseréje 2019. évi</t>
  </si>
  <si>
    <t>Temető felújítás</t>
  </si>
  <si>
    <t>Városi zöldfelület fejlesztés 2019.</t>
  </si>
  <si>
    <t>Könyvtár bútorok</t>
  </si>
  <si>
    <t xml:space="preserve">területszerzés, kisajátítás </t>
  </si>
  <si>
    <t>Süttői mészkő csere</t>
  </si>
  <si>
    <t>játszóterek felújítása, bővítése 2019.</t>
  </si>
  <si>
    <t>Buszvárók cseréje</t>
  </si>
  <si>
    <t>Közvilágítás bővítés 2019. év</t>
  </si>
  <si>
    <t>Tesco sétány</t>
  </si>
  <si>
    <t>Széchényi park emléktáblák cseréje</t>
  </si>
  <si>
    <t>Papsoka felhagyott temetők felújítása IV. ütemben történő rehabilitációja</t>
  </si>
  <si>
    <t xml:space="preserve"> - Balatonfüredi Utánpótlás Sport Club parkoló létesítés TAO önrész</t>
  </si>
  <si>
    <t xml:space="preserve"> - Balatonfüredi Vízisport és Szabadidő Nonprofit Kft. Bejárható Magyarország kikötő fejlesztés</t>
  </si>
  <si>
    <t xml:space="preserve"> - Szent Benedek Gimnázium EFOP pályázat önrész I. ütem</t>
  </si>
  <si>
    <t xml:space="preserve"> - Zsidó Kiválóságok Háza Alapítvány</t>
  </si>
  <si>
    <t>Sport támogatási keretösszeg</t>
  </si>
  <si>
    <t xml:space="preserve"> - Sportegyesületi infrastrukturális fejlesztések támogatása</t>
  </si>
  <si>
    <t>Balatonfüredi Kézilabda Klub</t>
  </si>
  <si>
    <t>Óvodapedagógusok továbbképzésre elkülönített keret</t>
  </si>
  <si>
    <t>GINOP-7.1.9-17-2018-00008 Turisztikailag frekventált térségek integrált termék- és szolgáltatás fejlesztése</t>
  </si>
  <si>
    <t xml:space="preserve">Balaton első négyévszakos családi élményháza Balatonfüreden projekt </t>
  </si>
  <si>
    <t>GINOP Balatoni Vízi megállóhelyek létesítése</t>
  </si>
  <si>
    <t xml:space="preserve">GINOP Négy évszakos kulturális és rendezvényhelyszín fejlesztése Balatonfüreden </t>
  </si>
  <si>
    <t>Aszófői út melletti lakóterület közművesítés (Laki dülő víz, szennyvíz)</t>
  </si>
  <si>
    <t>Balatonfüredi Református Egyházegyházközség hittantábor támogatása</t>
  </si>
  <si>
    <t>Magyar Szkander Szövetség magyar bajnokság támogatása</t>
  </si>
  <si>
    <t>Hunyadi utcai óvoda beruházás 2019. évi ütem</t>
  </si>
  <si>
    <t>Eszterházy villa villamos energia ellátás közmű</t>
  </si>
  <si>
    <t>Hunyadi utcai óvoda eszközbeszerzés</t>
  </si>
  <si>
    <t xml:space="preserve">  Foglalkoztatottak személyi juttatásai</t>
  </si>
  <si>
    <t xml:space="preserve"> TOP-3.2.1-16-VE1-2018-00033 A Balatonfüredi Lipták Gábor Városi Könyvtár energetikai korszerűsítése</t>
  </si>
  <si>
    <t xml:space="preserve">      GINOP-7.1.9-17-2018-00008 Turisztikailag frekventált térségek integrált termék- és szolgáltatás fejlesztése</t>
  </si>
  <si>
    <t xml:space="preserve">      TOP-3.2.1-16-VE1-2018-00033 A Balatonfüredi Lipták Gábor Városi Könyvtár energetikai korszerűsítése</t>
  </si>
  <si>
    <t xml:space="preserve">   Balatonfüred Városért Közalapítvány</t>
  </si>
  <si>
    <t>Tamási Áron és Ferencsik János utcák kereszteződésében a közvilágítási légvezeték hálózat kiváltása földkábelre</t>
  </si>
  <si>
    <t>Savanyúvizes kutak védterület kijelölése (340/2007 sz. hat.) hidrogeológiai geodéziai anyag készítése</t>
  </si>
  <si>
    <t>Tájház pályázati önerő Lóczy u. 101.103. (203/2019.(VII.19.))</t>
  </si>
  <si>
    <t>TOP-1.1.2-15 Balatonfüred és Balatonalmádi közös helyi foglalkoztatási együttműködés</t>
  </si>
  <si>
    <t xml:space="preserve">           TOP-1.1.2-15 Balatonfüred és Balatonalmádi közös helyi foglalkoztatási együttműködés</t>
  </si>
  <si>
    <t>GINOP Négy évszakos kulturális és rendezvényhelyszín mélygarázs koncepció terve</t>
  </si>
  <si>
    <t xml:space="preserve">Magyar Fitkid Szövetség XVII. FITKID Európa Kupa támogatása </t>
  </si>
  <si>
    <t xml:space="preserve">Szent Benedek Általános Iskola, Középiskola, Alapfokú Művészeti Iskola és Kollégium </t>
  </si>
  <si>
    <t>Könyvtár környezetrendezés</t>
  </si>
  <si>
    <t>Hunyadi utcai óvoda infrastruktúrális fejlesztése hazai forrás</t>
  </si>
  <si>
    <t xml:space="preserve">    Gótika Kft.</t>
  </si>
  <si>
    <t xml:space="preserve">    Balatonfüredi Vízisport és Szabadidő Központ NKft. pótbefizetés </t>
  </si>
  <si>
    <t xml:space="preserve">  - Siófok Város Önkormányzata síremlék állításhoz</t>
  </si>
  <si>
    <t xml:space="preserve">  - Állami Szívkórház</t>
  </si>
  <si>
    <t xml:space="preserve">  - Veszprém Megyei Rendőrfőkapítányság támogatása Balatonfüredi Rendőrkapitányság udvar felújítása</t>
  </si>
  <si>
    <t xml:space="preserve">  - Veszprém Megyei Rendőrfőkapítányság támogatása Balatonfüredi Rendőrkapitányság inteligens gyalogátkelőhely</t>
  </si>
  <si>
    <t xml:space="preserve"> - Bajcsy Zs. U. 18. helyi védett épület felújítása 197/2019 (VI.28.)</t>
  </si>
  <si>
    <t xml:space="preserve"> - Segesdi u. 10. helyi védett épület felújítása 198/2019 (VI.28.)</t>
  </si>
  <si>
    <t xml:space="preserve">TOP-1.1.1-16 Ipari parkok, iparterületek fejlesztése (Új pályázatként) </t>
  </si>
  <si>
    <t>Alkony program koncepció terv</t>
  </si>
  <si>
    <t>Önkormányzati ingatlanok karbantartás (Iskola u. 2. kéménybontás, Kossuth u. 24. tetőjavítás)</t>
  </si>
  <si>
    <t xml:space="preserve">      Rendkívüli települési támogatás egyedi döntéssel</t>
  </si>
  <si>
    <t>Rendkívüli települési támogatás</t>
  </si>
  <si>
    <t>Települési temetési támogatás</t>
  </si>
  <si>
    <t xml:space="preserve">   Balatonfüred Kulturális Nonprofit Kft. Füred Gastro rendezvény</t>
  </si>
  <si>
    <t>Kelemen Ház adomány</t>
  </si>
  <si>
    <t>ZP-1-2019 zártkeri besorolású földrészletek mg-i hasznosítását segítő, infrastrukturális hátterét biztosító fejlesztések</t>
  </si>
  <si>
    <t>Petőfi S. utca- Séta utca csomópont döntés előkészítő terv</t>
  </si>
  <si>
    <t>TOP-1.1.1-16 Ipari parkok, iparterületek fejlesztése (Új pályázatként)</t>
  </si>
  <si>
    <t>Ivópohár gyűjtemény 70 db-os</t>
  </si>
  <si>
    <t xml:space="preserve">Városi Bölcsőde faház </t>
  </si>
  <si>
    <t xml:space="preserve">122/4 hrsz-ú ingatlanon épülő mélygarázsban 58db parkoló megvásárlása </t>
  </si>
  <si>
    <t xml:space="preserve">Óvodapedagógusok elismert létszáma </t>
  </si>
  <si>
    <t xml:space="preserve">Óvodapedagógusok munkáját kvetlenül segítők </t>
  </si>
  <si>
    <t xml:space="preserve">Óvodaműködtetési támogatás </t>
  </si>
  <si>
    <t>2019. évről áthúzódó és 2020. évi bérkompenzáció támogatása</t>
  </si>
  <si>
    <t>III.3. a.</t>
  </si>
  <si>
    <t>III.3. b.</t>
  </si>
  <si>
    <t xml:space="preserve">III.3. db </t>
  </si>
  <si>
    <t xml:space="preserve">III.3. n. </t>
  </si>
  <si>
    <t>IV. 1.b.</t>
  </si>
  <si>
    <t>Közművelődési érdekeltségnövelő támogatás</t>
  </si>
  <si>
    <t>ÁLLAMI TÁMOGATÁSOK 2020. ÉV</t>
  </si>
  <si>
    <t>Pedagógus II. kat. sorolt óvodapedag. kieg. támog.-minősítés 2019. jan. 1-ig szerezték meg</t>
  </si>
  <si>
    <t>Pedagógus II. kat. sorolt óvodapedag. kieg. támog.-minősítés 2020. jan. 1-ig szerezték meg</t>
  </si>
  <si>
    <t>demens személyek nappali intézményi ellátása - társulás által történő feladatellátás</t>
  </si>
  <si>
    <t>2020. évi eredeti ei.</t>
  </si>
  <si>
    <t>FELHALMOZÁSI KIADÁSOK 2020. ÉV</t>
  </si>
  <si>
    <t>Intézményi felújítások előző évi kötelezettség</t>
  </si>
  <si>
    <t>Intézményi felújítások tárgyév</t>
  </si>
  <si>
    <t>TÁMOGATÁSOK 2020. ÉV</t>
  </si>
  <si>
    <t>MŰKÖDÉSI KIADÁSOK ÖNKORMÁNYZAT, HIVATAL BONTÁSBAN 2020. ÉV</t>
  </si>
  <si>
    <t>BEVÉTELEK ELŐIRÁNYZATA 2020. ÉV</t>
  </si>
  <si>
    <t xml:space="preserve">      Kulturális többlettámogatás (színház)</t>
  </si>
  <si>
    <t xml:space="preserve">      Szobor támogatás</t>
  </si>
  <si>
    <t xml:space="preserve">TOP 7.1.1-16-H-030-4 Könyvtár belső felújítás </t>
  </si>
  <si>
    <t>Kemping fejlesztés Uszoda felújítás</t>
  </si>
  <si>
    <t>Kéki u. II.104. lakásvásárlás</t>
  </si>
  <si>
    <t>Kéki u. II.102. lakásvásárlás</t>
  </si>
  <si>
    <t>Kéki u. II.103. lakásvásárlás</t>
  </si>
  <si>
    <t>Kéki u. II.001. lakásvásárlás</t>
  </si>
  <si>
    <t>Kéki u. II.002. lakásvásárlás</t>
  </si>
  <si>
    <t>403/27/A hrsz-ú ingatlan "egyéb épület, áruház" megvásárlása tárgyévi</t>
  </si>
  <si>
    <t>BSZAK telefonközpont beszerzés</t>
  </si>
  <si>
    <t>Kéki u. I.104. lakásvásárlás</t>
  </si>
  <si>
    <t>Kéki u. I.204. lakásvásárlás</t>
  </si>
  <si>
    <t>Kéki u. I.001. lakásvásárlás</t>
  </si>
  <si>
    <t>Siske u. 7. ingatlanrész vásárlás</t>
  </si>
  <si>
    <t>F.L.101. Hotel Beruházó és Szolgáltató Kft. Részesedés 24,9 %</t>
  </si>
  <si>
    <t xml:space="preserve"> - Balaton-felvidéki Nemzeti Park Igazgatóság Lóczy Barlang Látogatóközpont kivitelezését magában foglaló "Rejtett kincsek a Balaton-felvidéki Nemzeti parkban" projekt önerőhöz hozzájárulás</t>
  </si>
  <si>
    <t xml:space="preserve">    Református Általános Iskola tornaterem TAO önrész 114/2019. (IV.29.) </t>
  </si>
  <si>
    <t>Aranycsapat Alapítvány</t>
  </si>
  <si>
    <t>Advent fényei</t>
  </si>
  <si>
    <t>DRV Zrt. lakossági víz- és csatornaszolgáltatás támogatása</t>
  </si>
  <si>
    <t>Borlovagrend támogatása</t>
  </si>
  <si>
    <t>Balatonfüredi Kerékpáros Egyesület rendezvények</t>
  </si>
  <si>
    <t>Bringa Erdő Kft. Kerékpáros rendezvények</t>
  </si>
  <si>
    <t>ESBA 2020 Senior Kosárlabda EB</t>
  </si>
  <si>
    <t>Balatonfüred Város Önkormányzat</t>
  </si>
  <si>
    <t>Kirendeltségek</t>
  </si>
  <si>
    <t xml:space="preserve">            GINOP-7.1.9-17-2017-0001 Gyógyhelyfejlesztés Balatonfüred Városában</t>
  </si>
  <si>
    <t xml:space="preserve">            EFOP-1.5.2-16-2017-00016 Humán közszolgáltatások fejlesztése az Észak-Balatoni térségben</t>
  </si>
  <si>
    <t xml:space="preserve">           TOP-4.1.1-15 Egészségügyi alapellátás fejlesztése </t>
  </si>
  <si>
    <t xml:space="preserve">          Balatonfüred dologi</t>
  </si>
  <si>
    <t>KEHOP-1.2.1-18 Klímatudatosság fejlesztése</t>
  </si>
  <si>
    <t xml:space="preserve">  - Rendelőintézet műszerbeszerzés támogatása (egészségügyi pályázati alap)</t>
  </si>
  <si>
    <t xml:space="preserve"> - Egyészségügyi pályázati alap (műszer beszerzés)</t>
  </si>
  <si>
    <t>Művészeti együttesek nemzetközi kapcsolattartás támogatása pályázati alap</t>
  </si>
  <si>
    <t>Művészeti együttesek formaruha támogatás pályázati alap</t>
  </si>
  <si>
    <t xml:space="preserve">Siske u. 9. 1992 hrsz-ú ingatlan megvásárlása </t>
  </si>
  <si>
    <t xml:space="preserve">Tervezési feladatok:                                                                                                      - útépítési tervek készítése(Balaton utca , Mészöly G.utca,  P.Horváth Á. u.- Rajk L. u.)                                                                                                                   - légvezeték hálózatok kiváltásának tervezése (Lóczy L. u, Balaton u., Déry T. u., Völgy u., Huray u., Öreghegyi u., P. Horváth Á. u., Györgyhegyi u., Aszófői u. Laki u., és Temető köz)      </t>
  </si>
  <si>
    <t xml:space="preserve"> - Petőfi Sportkör fejlesztési támogatás</t>
  </si>
  <si>
    <t xml:space="preserve"> - BME Tudáscentrum</t>
  </si>
  <si>
    <t>Beruházás előkészítő kiadások</t>
  </si>
  <si>
    <t>Egyéb beruházási kiadások</t>
  </si>
  <si>
    <t>Játszóterek felújítása</t>
  </si>
  <si>
    <t xml:space="preserve">Hulladékgyűjtő szigetek takarása </t>
  </si>
  <si>
    <t>Szökőkutak, Berzsenyi kút</t>
  </si>
  <si>
    <t>Gyalogutak, járdák, lépcsők</t>
  </si>
  <si>
    <t>Vásárcsarnok klíma</t>
  </si>
  <si>
    <t>Útépítés 2020-2021.</t>
  </si>
  <si>
    <t>Tervek</t>
  </si>
  <si>
    <t>Zöldterület fejlesztés 2020.</t>
  </si>
  <si>
    <t>Óváros rehabilitáció</t>
  </si>
  <si>
    <t>Négy évszakos játszóház garázs</t>
  </si>
  <si>
    <t xml:space="preserve"> Az Önkormányzat  működési bevételei és kiadásai  2020. év</t>
  </si>
  <si>
    <t>Bevétele és kiadások mérlege 2020. év</t>
  </si>
  <si>
    <t xml:space="preserve"> Az Önkormányzat felhalmozási bevételei és kiadásai  2020. év</t>
  </si>
  <si>
    <t>AZ ÖNKORMÁNYZAT 2020. ÉVI KÖLTSÉGVETÉSÉNEK FŐÖSSZESÍTŐJE</t>
  </si>
  <si>
    <t>BALATONFÜRED VÁROS ÖNKORMÁNYZAT BEVÉTELI ELŐIRÁNYZATAI KÖLTSÉGVETÉSI SZERVEK SZERINTI BONTÁSBAN 2020. ÉV</t>
  </si>
  <si>
    <t>FELÚJÍTÁSOK 2020. ÉV</t>
  </si>
  <si>
    <t>Intézmény / munkanemek</t>
  </si>
  <si>
    <t>1. Kiserdei Óvoda Park u.</t>
  </si>
  <si>
    <t>Konyha ajtó csere</t>
  </si>
  <si>
    <t>Villamos szekrény felújítása</t>
  </si>
  <si>
    <t>Melegvíz ellátás kézmosókhoz</t>
  </si>
  <si>
    <t>Ivókút kiépítése</t>
  </si>
  <si>
    <t xml:space="preserve">Bordás fal és függönytartó </t>
  </si>
  <si>
    <t>udvari kapu kiépítése</t>
  </si>
  <si>
    <t>Konyha mennyezet gipszkarton</t>
  </si>
  <si>
    <t xml:space="preserve">2. Református Óvoda - Iskolalépcső u. </t>
  </si>
  <si>
    <t xml:space="preserve">3. Hunyadi u. Óvoda </t>
  </si>
  <si>
    <t>4. Tündérkert Óvoda</t>
  </si>
  <si>
    <t>Füvesítés folytatása következő szakasz</t>
  </si>
  <si>
    <t>Udvari játékok</t>
  </si>
  <si>
    <t>Udvari ivókút</t>
  </si>
  <si>
    <t>5. Városi Bölcsőde</t>
  </si>
  <si>
    <t>6. Óvárosi Óvoda</t>
  </si>
  <si>
    <t>Ereszcsatorna felújítása</t>
  </si>
  <si>
    <t>7. Mogyoró u. Óvoda</t>
  </si>
  <si>
    <t xml:space="preserve">8. Eötvös Loránd Általános Iskola </t>
  </si>
  <si>
    <t xml:space="preserve">9. Református Általános Iskola </t>
  </si>
  <si>
    <t xml:space="preserve">10. Radnóti Miklós Általános Iskola </t>
  </si>
  <si>
    <t xml:space="preserve">11. Fekete István Általános Iskola </t>
  </si>
  <si>
    <t>12. Ferencsik János Zeneiskola</t>
  </si>
  <si>
    <t>13. Szent Benedek Gimnázium</t>
  </si>
  <si>
    <t xml:space="preserve"> Összesen</t>
  </si>
  <si>
    <t>14. Lóczy Lajos Gimnázium</t>
  </si>
  <si>
    <t>15. Közösségi Ház</t>
  </si>
  <si>
    <t>16. BSZAK</t>
  </si>
  <si>
    <t>Ereszcsatorna bekötése csapadékaknába</t>
  </si>
  <si>
    <t>17. Városi Szakorvosi Rendelőintézet</t>
  </si>
  <si>
    <t>18. Lipták Gábor Városi Könyvtár</t>
  </si>
  <si>
    <t>22. Balatonfüredi Közös Önkormányzati Hivatal épülete</t>
  </si>
  <si>
    <t>23. Arácsi Népház, Posta</t>
  </si>
  <si>
    <t>24. Konferencia Központ</t>
  </si>
  <si>
    <t>25. Tartalék</t>
  </si>
  <si>
    <t xml:space="preserve">26. Lakásfelújítás 2019 évi </t>
  </si>
  <si>
    <t xml:space="preserve">27.Egyéb épület: </t>
  </si>
  <si>
    <t xml:space="preserve">Astória homlokzat felújítás  </t>
  </si>
  <si>
    <t>Astória homlokzat felújítás folytatása</t>
  </si>
  <si>
    <t>Kötelezettségek</t>
  </si>
  <si>
    <t>2019. évi ei.</t>
  </si>
  <si>
    <t>lakásfelújítás</t>
  </si>
  <si>
    <t>ÖSSZESEN: (a tábla vége)</t>
  </si>
  <si>
    <t>Volánbusz Zrt. (helyi közösségi közlekedés)</t>
  </si>
  <si>
    <t>Költségve-tési szervek</t>
  </si>
  <si>
    <t>Önkormányzat összesen</t>
  </si>
  <si>
    <t>3.4. Felhalmozási célú visszatérítendő támogatások, kölcsönök nyújtása áh-n kívülre</t>
  </si>
  <si>
    <t>4. Értékpapírok visszavásárlása</t>
  </si>
  <si>
    <t>Költségvetési hiány:</t>
  </si>
  <si>
    <t>Intézményfinanszírozás</t>
  </si>
  <si>
    <t>Önkormányzati Hivatal</t>
  </si>
  <si>
    <t>Működési bevételek</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</si>
  <si>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</si>
  <si>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</si>
  <si>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</si>
  <si>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</si>
  <si>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</si>
  <si>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</si>
  <si>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</si>
  <si>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</si>
  <si>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</si>
  <si>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</si>
  <si>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</si>
  <si>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</si>
  <si>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</si>
  <si>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</si>
  <si>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</si>
  <si>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</si>
  <si>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</si>
  <si>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</si>
  <si>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</si>
  <si>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</si>
  <si>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</si>
  <si>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</si>
  <si>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</si>
  <si>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</si>
  <si>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</si>
  <si>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</si>
  <si>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</si>
  <si>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</si>
  <si>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</si>
  <si>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</si>
  <si>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</si>
  <si>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</si>
  <si>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</si>
  <si>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</si>
  <si>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</si>
  <si>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</si>
  <si>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</si>
  <si>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</si>
  <si>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</si>
  <si>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</si>
  <si>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</si>
  <si>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</si>
  <si>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</si>
  <si>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</si>
  <si>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</si>
  <si>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</si>
  <si>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</si>
  <si>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 xml:space="preserve">Működési célú átvett pénzeszközök </t>
  </si>
  <si>
    <t>Közös Önkormányzati Hivatal</t>
  </si>
  <si>
    <t>Működési célú átvett pénzeszközök</t>
  </si>
  <si>
    <t>Működési bevételek összesen:</t>
  </si>
  <si>
    <t>Felhalmozási célú támogatások áh-n belülről</t>
  </si>
  <si>
    <t>Felhalmozási  bevételek</t>
  </si>
  <si>
    <t>Felhalmozási célú átvett pénzeszközök</t>
  </si>
  <si>
    <t>Közös Önkormányzati Hivatal felhalm.bev.</t>
  </si>
  <si>
    <t>Intézményi felhalmozási bevételek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</si>
  <si>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</si>
  <si>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</si>
  <si>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</si>
  <si>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</si>
  <si>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</si>
  <si>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Közös Önkormányzati Hivatal működési kiadásai személyi juttatás</t>
  </si>
  <si>
    <t>Önkormányzat személyi juttatás</t>
  </si>
  <si>
    <t>Közös Önkormányzati Hivatal működési kiadásai munkaadót terhelő járulék</t>
  </si>
  <si>
    <t>Önkormányzat munkaadót terhelő járulék</t>
  </si>
  <si>
    <t>Közös Önkormányzati Hivatal működési kiadásai dologi kiadás</t>
  </si>
  <si>
    <t>Önkormányzat dologi kiadás</t>
  </si>
  <si>
    <t>Önkormányzat ellátottak pénzbeli juttatásai</t>
  </si>
  <si>
    <t>Önkormányzat egyéb működési célú kiadások</t>
  </si>
  <si>
    <t>Intézmények működési kiadásai (személyi, jár, dologi)</t>
  </si>
  <si>
    <t>Tartalék</t>
  </si>
  <si>
    <t>Működési kiadások összesen:</t>
  </si>
  <si>
    <t>Beruházások</t>
  </si>
  <si>
    <t>Felújítások</t>
  </si>
  <si>
    <t>Saját hatáskörű intézményi fejl.</t>
  </si>
  <si>
    <t>Egyéb felhalmozási célú kiadások</t>
  </si>
  <si>
    <t>Felhalmozási célú kiadások összesen</t>
  </si>
  <si>
    <t>Finanszírozási kiadások (hitel törlesztés, értékpapír visszavásárlás)</t>
  </si>
  <si>
    <t>Korrekció</t>
  </si>
  <si>
    <t>Záró pénzkészlet</t>
  </si>
  <si>
    <t>EFOP-1.5.2-16-2017-00016</t>
  </si>
  <si>
    <t xml:space="preserve">EU Projekt megnevezése: </t>
  </si>
  <si>
    <t>Humán közszolgáltatások fejlesztése az Észak-Balatoni térségben</t>
  </si>
  <si>
    <t>Bevételek</t>
  </si>
  <si>
    <t>2018. év</t>
  </si>
  <si>
    <t>2019. év</t>
  </si>
  <si>
    <t>2020. év</t>
  </si>
  <si>
    <t>EU forrás</t>
  </si>
  <si>
    <t>Egyéb forrás</t>
  </si>
  <si>
    <t>Saját forrás</t>
  </si>
  <si>
    <t>Kiadások</t>
  </si>
  <si>
    <t xml:space="preserve">2018. évben pénzügyileg teljesült </t>
  </si>
  <si>
    <t>személyi juttatások (bérköltség)</t>
  </si>
  <si>
    <t>személyi juttatások járulékai</t>
  </si>
  <si>
    <t>dologi kiadások</t>
  </si>
  <si>
    <t>felújítások</t>
  </si>
  <si>
    <t>beruházások</t>
  </si>
  <si>
    <t>átadott pénzeszközök</t>
  </si>
  <si>
    <t>TOP-3.2.2-15-VE1-2016-00002</t>
  </si>
  <si>
    <t>Biomassza alapú ORC erőmű Balatonfüred</t>
  </si>
  <si>
    <t>visszaigényelhető ÁFA</t>
  </si>
  <si>
    <t xml:space="preserve">személyi juttatások </t>
  </si>
  <si>
    <t>EFOP-4.1.8-16-2017-00140</t>
  </si>
  <si>
    <t>A könyvtárral a tudásért - megújult épületben, korszerű technikával Balatonfüreden</t>
  </si>
  <si>
    <t>fizetendő fordított áfa</t>
  </si>
  <si>
    <t>TOP-2.1.3-16-VE1-2017-00008</t>
  </si>
  <si>
    <t>Balatonfüred csapadékcsatorna hálózatának fejlesztése</t>
  </si>
  <si>
    <t>GINOP-7.1.9-17-2017-0001</t>
  </si>
  <si>
    <t>Gyógyhelyfejlesztés Balatonfüred Városában</t>
  </si>
  <si>
    <t>fizetendő ÁFA</t>
  </si>
  <si>
    <t>GINOP-7.1.6.16-2017-00004</t>
  </si>
  <si>
    <t>Balaton-felvidéki Kultúrtáj Világörökség várományos helyszín turisztikai célú fejlesztése</t>
  </si>
  <si>
    <t>2017.év</t>
  </si>
  <si>
    <t>2018.év</t>
  </si>
  <si>
    <t xml:space="preserve">2017. évben pénzügyileg teljesült </t>
  </si>
  <si>
    <t>TOP-4.1.1-15-VE1-2016-00019</t>
  </si>
  <si>
    <t>"Az egészségügyi alapellátás fejlesztése Balatonfüreden"</t>
  </si>
  <si>
    <t>TOP-2.1.2-16-VE1-2017-00009</t>
  </si>
  <si>
    <t>"Balatonfüred Ófalu fejlesztése és új közösségi tér kialakítása"</t>
  </si>
  <si>
    <t>2019.év</t>
  </si>
  <si>
    <t>2018. évben pénzügyileg teljesült</t>
  </si>
  <si>
    <t>fizetendő fordított ÁFA</t>
  </si>
  <si>
    <t>2017. év</t>
  </si>
  <si>
    <t>személyi juttatások</t>
  </si>
  <si>
    <t>TOP-5.1.2-15-VE1-2016-00001</t>
  </si>
  <si>
    <t>"Balatonfüred és Balatonalmádi közös helyi foglalkoztatási együttműködés"</t>
  </si>
  <si>
    <t>GINOP-7.1.9-17-2018-0002</t>
  </si>
  <si>
    <t>"Négy évszakos kulturális és rendezvényhelyszín fejlesztése Balatonfüreden a meglévő kulturális kínálat erősítésével"</t>
  </si>
  <si>
    <t>GINOP-7.1.9-17-2018-00026</t>
  </si>
  <si>
    <t>Balatoni vízi megállóhelyek létesítése</t>
  </si>
  <si>
    <t>TFC-2.1.1-2018-D</t>
  </si>
  <si>
    <t>A Balaton első négyévszakos családi élményháza Balatonfüreden</t>
  </si>
  <si>
    <t>GINOP-7.1.9-17-2018-00008</t>
  </si>
  <si>
    <t>Balatonfüred reformkori városrészének integrált termék- és szolgáltatás fejlesztése</t>
  </si>
  <si>
    <t xml:space="preserve"> TOP-3.2.1-16-VE1-2018-00033</t>
  </si>
  <si>
    <t xml:space="preserve"> A Balatonfüredi Lipták Gábor Városi Könyvtár energetikai korszerűsítése</t>
  </si>
  <si>
    <t>2021. év</t>
  </si>
  <si>
    <t xml:space="preserve"> Ipari parkok, iparterületek fejlesztése</t>
  </si>
  <si>
    <t>2020.év</t>
  </si>
  <si>
    <t>Intézmény</t>
  </si>
  <si>
    <t>Informatikai eszközök</t>
  </si>
  <si>
    <t>Bútor</t>
  </si>
  <si>
    <t>BALATONFÜREDI VÁROSI BÖLCSÖDE</t>
  </si>
  <si>
    <t>egyéb kisértékű eszközök</t>
  </si>
  <si>
    <t>informatikai eszközök</t>
  </si>
  <si>
    <t>ÖSSZESEN:</t>
  </si>
  <si>
    <t>Dokumentumbeszerzés</t>
  </si>
  <si>
    <t>Egyéb kisértékű eszközök</t>
  </si>
  <si>
    <t>orvosi műszerek</t>
  </si>
  <si>
    <t>bútor, egyéb nagyértékű eszközök</t>
  </si>
  <si>
    <t>Kötelező feladatok</t>
  </si>
  <si>
    <t>Önként vállalt feladatok</t>
  </si>
  <si>
    <t>Államigazgatási feladatok</t>
  </si>
  <si>
    <t>Állami támogatás, saját bevétel és költségvetési maradvány</t>
  </si>
  <si>
    <t>2020. ÉV</t>
  </si>
  <si>
    <t>Római Katolikus Plébánia 344/2019.(XII.12.)</t>
  </si>
  <si>
    <t>2019. évben pénzügyileg teljesült</t>
  </si>
  <si>
    <t>TOP-7.1.1-16-H-ERFA-2019-00066</t>
  </si>
  <si>
    <t xml:space="preserve"> A Balatonfüredi Lipták Gábor Városi Könyvtár belső terek komplex felújítása</t>
  </si>
  <si>
    <t>TOP-1.1.1-16-VE1-2019-00009</t>
  </si>
  <si>
    <t>KFE-00120-5/2020</t>
  </si>
  <si>
    <t>Balatonfüred Széchenyi strand fejlesztése II ütem</t>
  </si>
  <si>
    <t xml:space="preserve"> - Sportberuházások önrésze, TAO önrészek</t>
  </si>
  <si>
    <t>EURÓPAI UNIÓS TÁMOGATÁSSAL MEGVALÓSULÓ PROGRAMOK BEVÉTELEI ÉS KIADÁSAI 2020. ÉV</t>
  </si>
  <si>
    <t>KFE-00120-5/2020 Balatonfüred Széchenyi strand fejlesztése</t>
  </si>
  <si>
    <t>pályázati projekthez kapcsolódó határozott idejű (fő)</t>
  </si>
  <si>
    <t>Homokozó ütésgátló cseréje</t>
  </si>
  <si>
    <t>Új udvari játék</t>
  </si>
  <si>
    <t>Fészekhinta felújítás</t>
  </si>
  <si>
    <t>Folyosók és csoportszobák festése</t>
  </si>
  <si>
    <t>homokcsere</t>
  </si>
  <si>
    <t>Új udvari játékok, meglévők korszerűsítése</t>
  </si>
  <si>
    <t>Homokcsere, ponyvás lefedés</t>
  </si>
  <si>
    <t>K-i oldali foglalkoztató menyezet felújítás</t>
  </si>
  <si>
    <t>Külső falfelület felújítása folytatása</t>
  </si>
  <si>
    <t>Kazán oldali tető felújítás</t>
  </si>
  <si>
    <t>Vízelvezetés ÉK-i résznél</t>
  </si>
  <si>
    <t>tetőfelújítás padlástérben</t>
  </si>
  <si>
    <t>tetőhéjazat felújítása</t>
  </si>
  <si>
    <t>belső udvar és lépcső felújítás</t>
  </si>
  <si>
    <t>kerti csap kialakítása</t>
  </si>
  <si>
    <t>épület festése</t>
  </si>
  <si>
    <t>Foglalkoztató-tetősík ablakok szellőztetése</t>
  </si>
  <si>
    <t>Tetőfelújítás, tetősík ablakok cseréje nyugati oldal</t>
  </si>
  <si>
    <t>Tetőfelújítás, tetősík ablakok cseréje keleti oldal</t>
  </si>
  <si>
    <t>Vakolat felújítás és szigetelési munkák</t>
  </si>
  <si>
    <t>Térburkolat felújítása főbejárat előtt és a patak felé</t>
  </si>
  <si>
    <t>Könyvtár utcafronti belső fal jav.</t>
  </si>
  <si>
    <t>Konyha fal és lépcsőház fal jav.</t>
  </si>
  <si>
    <t>Népház főbejárat ajtócsere</t>
  </si>
  <si>
    <t>Emeleti irodai ablakok felújítása</t>
  </si>
  <si>
    <t>Bartók B. u. 6. két lakás nyílászárók cseréje és felújítása</t>
  </si>
  <si>
    <t xml:space="preserve"> - Balatonarácsi Református Egyházközség fejlesztési támogatás (torony felújítás)</t>
  </si>
  <si>
    <t>Balatonfüredi Turisztikai Egyesület  (BTE) és Balaton Best Nonprofit Kft. Együtt</t>
  </si>
  <si>
    <t>gépkocsi beszerzés</t>
  </si>
  <si>
    <t>KEHOP-1.2.1-18-2018-00143</t>
  </si>
  <si>
    <t>Balatonfüred Lakossági Klímatudatosság fejlesztése</t>
  </si>
  <si>
    <t xml:space="preserve"> Az Önkormányzat  kötelező feladatok bevételei és kiadásai  2020. év</t>
  </si>
  <si>
    <t xml:space="preserve"> Az Önkormányzat önként vállalt feladatok bevételei és kiadásai  2020. év</t>
  </si>
  <si>
    <t xml:space="preserve"> Az Önkormányzat államigazgatási feladatok bevételei és kiadásai  2020. év</t>
  </si>
  <si>
    <t>Az önkormányzat működési bevételei és kiadásai, a felhalmozási bevételei és kiadásai kiemelt előirányzatok, 
és kötelező feladatok, önként vállalt feladatok és államigazgatási feladatok bontásban 2020. év</t>
  </si>
  <si>
    <t>AZ ÖNKORMÁNYZAT MŰKÖDÉSI ÉS FELHALMOZÁSI MÉRLEGE KÖLTSÉGVETÉSI SZERVEK ÉS ÖNKORMÁNYZAT BONTÁSBAN 2020. ÉV</t>
  </si>
  <si>
    <t>ELŐIRÁNYZAT FELHASZNÁLÁSI TERV 2020. ÉV</t>
  </si>
  <si>
    <t>Civil szervezetek pályázati alap</t>
  </si>
  <si>
    <t>ÁLLAMI TÁMOGATÁSOK KÖLTSÉGVETÉSI SZERVENKÉNT 2020 ÉV</t>
  </si>
  <si>
    <t>AZ ÖNKORMÁNYZAT KIADÁSI ELŐIRÁNYZATAI KÖLTSÉGVETÉSI SZERVEK SZERINTI BONTÁSBAN KIEMELT ELŐIRÁNYZATONKÉNT           2020. ÉV</t>
  </si>
  <si>
    <t>BEVÉTELEK ELŐIRÁNYZATA KÖLTSÉGVETÉSI SZERVEK SZERINTI BONTÁSBAN 2020. ÉV</t>
  </si>
  <si>
    <t>KÖLTSÉGVETÉSI SZERVEK SAJÁTHATÁSKÖRŰ FEJLESZTÉSEI 2020. ÉV</t>
  </si>
  <si>
    <t>2020. évi módosított ei. I.</t>
  </si>
  <si>
    <t>Eltérés</t>
  </si>
  <si>
    <t>Morvai J. u. ivóvíz hálózat tervezése</t>
  </si>
  <si>
    <t>I. módosítás</t>
  </si>
  <si>
    <t>Módosított ei. I.</t>
  </si>
  <si>
    <t>Bérkompenzáció</t>
  </si>
  <si>
    <t>Mutató</t>
  </si>
  <si>
    <t>TOP-1.2.1-16-VE1</t>
  </si>
  <si>
    <t>Társadalmi és környezeti szempontból fenntartható turizmusfejlesztés elnevezésű projekt keretében Balatonfüred, Brázay szabad strand turisztikai attrakció fejlesztése</t>
  </si>
  <si>
    <t>Robogó beszerzés</t>
  </si>
  <si>
    <t>Rövid lejáratú hitel visszafizetés</t>
  </si>
  <si>
    <t>robogó beszerzés</t>
  </si>
  <si>
    <t>TOP-1.2.1-16-VE1 azonosítószámú, Társadalmi és környezeti szempontból fenntartható turizmusfejlesztés elnevezésű projekt keretében Balatonfüred, Brázay szabad strand turisztikai attrakció fejlesztése”</t>
  </si>
  <si>
    <t>GINOP 7.1.2.-15 Megállópont</t>
  </si>
  <si>
    <t>Alkony program fel nem használt támogatás visszafizetés</t>
  </si>
  <si>
    <t>Útépítések 2019. -20. évi</t>
  </si>
  <si>
    <t xml:space="preserve">TOP-1.2.1-16-VE1-2019 Társadalmi és környezeti szempontból fenntartható turizmusfejlesztés </t>
  </si>
  <si>
    <t>Kemping alacsony fénypontú vandálbiztos térvilágítás</t>
  </si>
  <si>
    <t>Balatonfüred Nagyfenyő dűlő 072 hrsz-ú ingatlan EON hálózatfejlesztés</t>
  </si>
  <si>
    <t xml:space="preserve"> Vitorlástéri buszváró és környezetének áttervezése</t>
  </si>
  <si>
    <t>Széchenyi u. 41. társasház előtti sétány tervezése</t>
  </si>
  <si>
    <t>Aranyhíd sétány kiépítése a Kisfaludy strand főbejáratáig</t>
  </si>
  <si>
    <t>Kagylóköz sétány tervezése a Munkácsy M. u. és a Mészöly G. u. között</t>
  </si>
  <si>
    <t>Vaszary kert parkos növénytelepítés</t>
  </si>
  <si>
    <t>Sellő szobor elhelyezése tervezése</t>
  </si>
  <si>
    <t>Református Iskola tetőfedés tervezése</t>
  </si>
  <si>
    <t xml:space="preserve">396/5 hrsz-ú ingatlanra vonatkozó elővásárlási jog </t>
  </si>
  <si>
    <t xml:space="preserve"> -  -GINOP-7.1.9-17-2018-00026 Balatoni vízi megállóhelyek létesítése előleg visszafizetés</t>
  </si>
  <si>
    <t xml:space="preserve"> -  -GINOP-7.1.9-17-2018-0002 "Négy évszakos kulturális és rendezvényhelyszín fejlesztése Balatonfüreden a meglévő kulturális kínálat erősítésével előleg visszafizetés</t>
  </si>
  <si>
    <t xml:space="preserve"> - tagi hitel </t>
  </si>
  <si>
    <t xml:space="preserve"> - Balatonfüredi Utánpótlás Sport Club TAO önrész</t>
  </si>
  <si>
    <t>split klíma</t>
  </si>
  <si>
    <t xml:space="preserve">GINOP-7.1.2-15-2016-00013 </t>
  </si>
  <si>
    <t>Balatonfüred megállópont</t>
  </si>
  <si>
    <t>Közös Önkormányzati Hivatal működési kiadásai egyéb működési célú kiadások</t>
  </si>
  <si>
    <t>2020. évi módosított ei. II.</t>
  </si>
  <si>
    <t>II. módosítás</t>
  </si>
  <si>
    <t>Módosított ei. II.</t>
  </si>
  <si>
    <t>Kiegészítő támogatás</t>
  </si>
  <si>
    <t xml:space="preserve"> család- és gyermekjóléti szolgálat és központ kieg.támogatása</t>
  </si>
  <si>
    <t>Szoc. És gyeermekjóléti feladatok kieg. támogatás</t>
  </si>
  <si>
    <t>Nyilvános könyvtári és közművelődési feladatok kiegészítő támogatása</t>
  </si>
  <si>
    <t>Bölcsőde kiegészítő támogatása - bértámogatás</t>
  </si>
  <si>
    <t>Idegenforgalmi adóhoz kapcsolódó kiegészítő támogatás</t>
  </si>
  <si>
    <t>Kiegészítő támogatás bölcsődei pótlékra</t>
  </si>
  <si>
    <t xml:space="preserve">Kiegészítő támogatás </t>
  </si>
  <si>
    <t>Kiegészítő támogatás intézményi gyermekétkeztetés</t>
  </si>
  <si>
    <t>megnevezés</t>
  </si>
  <si>
    <t>1. Helyi adó és települési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</si>
  <si>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</si>
  <si>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</si>
  <si>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</si>
  <si>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</si>
  <si>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</si>
  <si>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 (Ft)</t>
  </si>
  <si>
    <t xml:space="preserve">adósságot keletkeztető ügyletekből és kezességvállalásokból fennálló kötelezettségek </t>
  </si>
  <si>
    <t xml:space="preserve">Balatonfüred Kemping ingatlan vásárlás felvett hitel </t>
  </si>
  <si>
    <t>Balatonfüred Kemping ingatlan vásárlás hitel  kamata</t>
  </si>
  <si>
    <t>Konferencia Központ üzletrész megvásárlása</t>
  </si>
  <si>
    <t>Összesen (Ft):</t>
  </si>
  <si>
    <t xml:space="preserve">     Papsoka IV. ütem nem támogatott</t>
  </si>
  <si>
    <t>Információs táblák</t>
  </si>
  <si>
    <t>Hulladékgyűjtők</t>
  </si>
  <si>
    <t>Kéki utcai társasházak körüli környezetrendezés</t>
  </si>
  <si>
    <t>Fűkasza  és egyéb kisértékű eszköz beszerzés</t>
  </si>
  <si>
    <t>MLSZ Országos pályaépítési program önrész</t>
  </si>
  <si>
    <t>Tamáshegyi új utca kialakítása- víziközmű ellátás tervezése</t>
  </si>
  <si>
    <t xml:space="preserve">Gábor Dénes emlékfa ültetés </t>
  </si>
  <si>
    <t xml:space="preserve"> - Vasút utca 1. Társasház visszatérítendő támogatás</t>
  </si>
  <si>
    <t xml:space="preserve"> - Balatonfüred Kézilabda Sportjáért Közhasznú Alapítvány visszatérítendő támogatás</t>
  </si>
  <si>
    <t xml:space="preserve">  - GINOP-7.1.9-17-2018-00008 Turisztikailag frekventált térségek integrált termék- és szolgáltatás fejlesztése</t>
  </si>
  <si>
    <t>TOP-2.1.2.-16 VE1 Ófalu településrész fejlesztése tanulmányterv</t>
  </si>
  <si>
    <t xml:space="preserve">  - TOP-2.1.2-16-VE1-2017-00009 Balatonfüred Ófalu fejlesztése és új közösségi tér kialakítása</t>
  </si>
  <si>
    <t>Balatonfüred 396/5 hrsz-ú ingatlan vásárlás tervezett hitel tőketörlesztés és kamat</t>
  </si>
  <si>
    <t>Az önkormányzat adósságot keletkeztető ügyletből származó fizetési kötelezettségeinek és a 353/2011. (XII.30.) Korm. rendeletben meghatározott saját bevételeinek alakulása</t>
  </si>
  <si>
    <t>2022. év</t>
  </si>
  <si>
    <t>2023. év</t>
  </si>
  <si>
    <t>2024. év</t>
  </si>
  <si>
    <t>2025. év</t>
  </si>
  <si>
    <t>2026. év</t>
  </si>
  <si>
    <t>2027. év</t>
  </si>
  <si>
    <t>2028. év</t>
  </si>
  <si>
    <t>2029. év</t>
  </si>
  <si>
    <t>2030. év</t>
  </si>
  <si>
    <t>2031. év</t>
  </si>
  <si>
    <t>2032. év</t>
  </si>
  <si>
    <t>futamidő</t>
  </si>
  <si>
    <t>2014 - 2026.</t>
  </si>
  <si>
    <t>2003 - 2027.</t>
  </si>
  <si>
    <t>2009 - 2020.</t>
  </si>
  <si>
    <t>2020 - 2032.</t>
  </si>
  <si>
    <t>Adósságot keletkeztető ügylet / saját bevételhez viszonyított aránya</t>
  </si>
  <si>
    <t>A</t>
  </si>
  <si>
    <t>B</t>
  </si>
  <si>
    <t>C</t>
  </si>
  <si>
    <t>D</t>
  </si>
  <si>
    <t>E</t>
  </si>
  <si>
    <t>F</t>
  </si>
  <si>
    <t>G</t>
  </si>
  <si>
    <t>H</t>
  </si>
  <si>
    <t>I</t>
  </si>
  <si>
    <t>J</t>
  </si>
  <si>
    <t>K</t>
  </si>
  <si>
    <t>L</t>
  </si>
  <si>
    <t>M</t>
  </si>
  <si>
    <t>N</t>
  </si>
  <si>
    <t>O</t>
  </si>
  <si>
    <t>P</t>
  </si>
  <si>
    <t>sorszám</t>
  </si>
  <si>
    <t>1.</t>
  </si>
  <si>
    <t>3.</t>
  </si>
  <si>
    <t>4.</t>
  </si>
  <si>
    <t>5.</t>
  </si>
  <si>
    <t>6.</t>
  </si>
  <si>
    <t>7.</t>
  </si>
  <si>
    <t>8.</t>
  </si>
  <si>
    <t>9.</t>
  </si>
  <si>
    <t>10.</t>
  </si>
  <si>
    <t>11.</t>
  </si>
  <si>
    <t>12.</t>
  </si>
  <si>
    <t>13.</t>
  </si>
  <si>
    <t>14.</t>
  </si>
  <si>
    <t>15.</t>
  </si>
  <si>
    <t>16.</t>
  </si>
  <si>
    <t>Q</t>
  </si>
  <si>
    <t>2020. évi módosított ei. III.</t>
  </si>
  <si>
    <t>III. módosítás</t>
  </si>
  <si>
    <t>Módosított ei. III.</t>
  </si>
  <si>
    <t>Óvodaműködtetési támogatás</t>
  </si>
  <si>
    <t>Belterületi utak, járdák, hidak felújítása</t>
  </si>
  <si>
    <t>Muzeális intézmények szakmai támogatása (Kubinyi Ágoston Program)</t>
  </si>
  <si>
    <t>vizsgáló ágy</t>
  </si>
  <si>
    <t xml:space="preserve"> ebből:    TOP-1.2.1-16-VE1-2019-00017 Balatonfüred Brázay szabadstrand turisztikai attrakció fejlesztése</t>
  </si>
  <si>
    <t xml:space="preserve">                KEHOP 1.2.1-18-2018-2018-00143 Balatonfüred lakossági klímatudatosság fejlesztése - alkalmazkodása klímaváltozáshoz</t>
  </si>
  <si>
    <t xml:space="preserve">      Fejlesztési célú támogatás Passuth u. útfelújítás</t>
  </si>
  <si>
    <t>Pályázat visszamondás miatt előleg visszafizetés</t>
  </si>
  <si>
    <t>TOP-2.1.2-16-VE1-2020-00010</t>
  </si>
  <si>
    <t>2020. év előtti teljesítés</t>
  </si>
  <si>
    <t>2021-2022. évek</t>
  </si>
  <si>
    <t>Vitorlástér homokkő burkolat cseréje</t>
  </si>
  <si>
    <t>Belterületi utak, járdák felújítása pályázat (Arad u.)</t>
  </si>
  <si>
    <t>Völgy u. ingatlanok kisajátítás, területszerzés</t>
  </si>
  <si>
    <t>1780/99 hrsz-ú ingatlanból területrész vásárlása</t>
  </si>
  <si>
    <t>Kiserdő felújítás 2020. év</t>
  </si>
  <si>
    <t>KFE-00201-8/2020 Balatonfüred új kulturális negyedének kialakítása II. ütem (Huray mélygarázs)</t>
  </si>
  <si>
    <t>Lóczy Lajos Gimnázium betonfal bontása és korlát építése</t>
  </si>
  <si>
    <t>Elővásárlási jog gyakorlása a 3465 hrsz-ú ingatlan Itató u. 10.</t>
  </si>
  <si>
    <t>Tematikus szabadidőpark tervek</t>
  </si>
  <si>
    <t>Lóczy Lajos emlékfa ültetés</t>
  </si>
  <si>
    <t>Törvénykezési hely és Járási Hivatal kialakításának tervezése</t>
  </si>
  <si>
    <t>Balatonfüred Kemping Turisztikai fejlesztése I. ütem 2020. év</t>
  </si>
  <si>
    <t>Kéki utcai lakások konyhabútor, lámpák, függöny beszerzés (5 db lakás)</t>
  </si>
  <si>
    <t xml:space="preserve">Lóczy Gimnázium konyha mosogató alatti asztal </t>
  </si>
  <si>
    <t>Faludy György emléktábla</t>
  </si>
  <si>
    <t xml:space="preserve">  - Balatonfüred Gyógytér 3. helyi védett épület felújítására támogatás 175/2020. (IX.24.) </t>
  </si>
  <si>
    <t xml:space="preserve"> -Balatonfüred-Dörgicse Evangélikus Egyházközség fejlesztési támogatás</t>
  </si>
  <si>
    <t xml:space="preserve"> - Arácsért Alapítvány fejlesztési támogatás</t>
  </si>
  <si>
    <t xml:space="preserve"> - Fejlesztési célok támogatása képviselői és alpolgármesteri keretből</t>
  </si>
  <si>
    <t xml:space="preserve"> - Római Katolikus Plébánia épületének felújítás támogatása </t>
  </si>
  <si>
    <t>Fürdőszoba átalakítása</t>
  </si>
  <si>
    <t>Siske u. 7. felújítás</t>
  </si>
  <si>
    <t>Balatonfüred Polgárőr Egyesület formaruha</t>
  </si>
  <si>
    <t>Balatonfüredi Nyugdíjas Pedagógus Egyesület</t>
  </si>
  <si>
    <t>TOP-2.1.2-16-VE1-2020-00010 Balatonfüred Ófalu fejlesztése és új közösségi tér kialakítása</t>
  </si>
  <si>
    <t xml:space="preserve">      TOP-2.1.2-16-VE1-2020-00010  Balatonfüred Ófalu fejlesztése és új közösségi tér kialakítása</t>
  </si>
  <si>
    <t xml:space="preserve">     TOP-1.2.1-16-VE1 Társadalmi és környezeti szempontból fenntartható turizmusfejlesztés elnevezésű projekt keretében Balatonfüred, Brázay szabad strand turisztikai attrakció fejlesztése”</t>
  </si>
  <si>
    <t xml:space="preserve">     TOP-1.2.1-16-VE1 Társadalmi és környezeti szempontból fenntartható turizmusfejlesztés előkészítő tanulmány</t>
  </si>
  <si>
    <t xml:space="preserve">     KFE-00201--8/2020 Balatonfüred új kulturális negyedének kialakítása II. ütem (Huray mélygarázs)</t>
  </si>
  <si>
    <t xml:space="preserve">     Tematikus szabadidőpark projekt előkészítő </t>
  </si>
  <si>
    <t xml:space="preserve">      Balatonfüred Kemping Turisztikai fejlesztése I. ütem</t>
  </si>
  <si>
    <t xml:space="preserve">      2.3.2. Korábbi évek megszűnt adóiból befolyt bevétel</t>
  </si>
  <si>
    <t>AZ ÖNKORMÁNYZAT 2020-2023. ÉVEK</t>
  </si>
  <si>
    <t xml:space="preserve"> TERVEZETT ELŐIRÁNYZATAINAK KERETSZÁMAI</t>
  </si>
  <si>
    <t>2021. évi várható előirányzatok</t>
  </si>
  <si>
    <t>2022. évi várható előirányzatok</t>
  </si>
  <si>
    <t>2023. évi várható előirányzatok</t>
  </si>
  <si>
    <t>I. Működési támogatások államháztartáson belülről</t>
  </si>
  <si>
    <t>II. Felhalmozási támogatások államháztartáson belülről</t>
  </si>
  <si>
    <t xml:space="preserve">VIII. Finanszírozási  bevételek </t>
  </si>
  <si>
    <t>1. Költségvetési hiány belső finanszírozására szolgáló finanszírozási bevételek</t>
  </si>
  <si>
    <t>2. Költségvetési hiány külső finanszírozására, vagy költségvetési többlet felhasználására szolgáló  finanszírozási bevételek</t>
  </si>
  <si>
    <t>I. Működési kiadások</t>
  </si>
  <si>
    <t>2.  Munkaadót terhelő járulék és szociális hozzájárulási adó</t>
  </si>
  <si>
    <t>II. Felhalmozási kiadások</t>
  </si>
  <si>
    <t>1. Beruházások</t>
  </si>
  <si>
    <t>2. Intézm saját hatásk fejl</t>
  </si>
  <si>
    <t>3. Felújítás</t>
  </si>
  <si>
    <t>4. Egyéb felhalmozási célú kiadások</t>
  </si>
  <si>
    <t>Állami támogatás megelőlegezés visszafiz.</t>
  </si>
  <si>
    <t>Értékpapír vásárlás</t>
  </si>
  <si>
    <t>KÖRNYEZETVÉDELMI ALAP ALAKULÁSA 2020. ÉV</t>
  </si>
  <si>
    <t>Összeg (eFt)</t>
  </si>
  <si>
    <t>2014. évi záró</t>
  </si>
  <si>
    <t>2015. év</t>
  </si>
  <si>
    <t>Környezetvédelmi bírság</t>
  </si>
  <si>
    <t>Talajterhelési díj</t>
  </si>
  <si>
    <t>2015. évi kiadás</t>
  </si>
  <si>
    <t>2015. évi záró</t>
  </si>
  <si>
    <t>2016. évi kiadás</t>
  </si>
  <si>
    <t>2016. évi  bevétel</t>
  </si>
  <si>
    <t>2016. évi záró</t>
  </si>
  <si>
    <t>2017. évi kiadás</t>
  </si>
  <si>
    <t>2017. évi bevétel</t>
  </si>
  <si>
    <t>2017. évi záró</t>
  </si>
  <si>
    <t>2018. évi  kiadás</t>
  </si>
  <si>
    <t>2018. évi bevétel</t>
  </si>
  <si>
    <t>2018. évi  záró</t>
  </si>
  <si>
    <t>2019. évi  tervezett kiadás: Aszófői út lakóterület szennyvíz elvezetésre felhasználva</t>
  </si>
  <si>
    <t>2019. évi bevétel</t>
  </si>
  <si>
    <t>2019. évi várható záró</t>
  </si>
  <si>
    <t>2020. évi  tervezett kiadás: Aszófői út lakóterület szennyvíz elvezetésre felhasználva</t>
  </si>
  <si>
    <t>2020. évi tervezett bevétel</t>
  </si>
  <si>
    <t>2020. évi várható záró</t>
  </si>
  <si>
    <t>PARKOLÓHELY MEGVÁLTÁS ALAKULÁSA 2020. ÉV</t>
  </si>
  <si>
    <t>2011-2015. években befolyt parkolóhely megváltás bevétele</t>
  </si>
  <si>
    <t>2016. évben befolyt parkolóhely megváltás bevétele</t>
  </si>
  <si>
    <t>2017. évben befolyt parkolóhely megváltás bevétele</t>
  </si>
  <si>
    <t>2018. évben befolyt parkolóhely megváltás bevétele</t>
  </si>
  <si>
    <t>2019. évben befolyt parkolóhely megváltás bevétele</t>
  </si>
  <si>
    <t>2020. évben tervezett parkolóhely megváltás bevétele</t>
  </si>
  <si>
    <t>Bevétel összesen:</t>
  </si>
  <si>
    <t>2011. évben a parkolóhely megváltás alap terhére elsz. kiadás</t>
  </si>
  <si>
    <t xml:space="preserve">2011. évben megelőlegezett kiadás a 2013. évi bevétel terhére </t>
  </si>
  <si>
    <t xml:space="preserve">2011. évben megelőlegezett kiadás a 2014. évi bevétel terhére </t>
  </si>
  <si>
    <t xml:space="preserve">2011. évben megelőlegezett kiadás a 2015. évi bevétel terhére </t>
  </si>
  <si>
    <t xml:space="preserve">2011. évben megelőlegezett kiadás a 2016. évi bevétel terhére </t>
  </si>
  <si>
    <t xml:space="preserve">2011. évben megelőlegezett kiadás a 2017. évi bevétel terhére </t>
  </si>
  <si>
    <t xml:space="preserve">2012. évben megelőlegezett kiadás a 2018. évi bevétel terhére </t>
  </si>
  <si>
    <t xml:space="preserve">2012. évben megelőlegezett kiadás a 2019. évi bevétel terhére </t>
  </si>
  <si>
    <t>Kiadás összesen:</t>
  </si>
  <si>
    <t>2018. évben céltartalékba helyezve</t>
  </si>
  <si>
    <t>Az önkormányzat által nyújtott közvetett támogatások jogcímenként</t>
  </si>
  <si>
    <t xml:space="preserve">                                (kedvezmények) 2020. év                       </t>
  </si>
  <si>
    <t xml:space="preserve">Bevételi jogcím </t>
  </si>
  <si>
    <t>Intézmények,</t>
  </si>
  <si>
    <t xml:space="preserve">Kedvezmény nélkül </t>
  </si>
  <si>
    <t xml:space="preserve">Kedvezmények </t>
  </si>
  <si>
    <t>adónemek</t>
  </si>
  <si>
    <t>elérhető</t>
  </si>
  <si>
    <t>összege</t>
  </si>
  <si>
    <t>bevétel  Ft</t>
  </si>
  <si>
    <t>Ft</t>
  </si>
  <si>
    <t>Ellátottak térítési díjának ill. kártérítésének méltányossági alapon történő elengedésének összege</t>
  </si>
  <si>
    <t>Bölcsőde</t>
  </si>
  <si>
    <t>Iskolák</t>
  </si>
  <si>
    <t>Lakosság részére nyújtott lakásépítéshez, lakásfelújításhoz nyújtott kölcsönök elengedésének összege</t>
  </si>
  <si>
    <t>Helyi adónál, gépjárműadónál biztosított kedvezmény, mentesség összege</t>
  </si>
  <si>
    <t>Építményadó</t>
  </si>
  <si>
    <t>Iparűzési adó</t>
  </si>
  <si>
    <t>IFA személyek után</t>
  </si>
  <si>
    <t>Telekadó</t>
  </si>
  <si>
    <t>Gépjárműadó</t>
  </si>
  <si>
    <t>Települési adó/külterületi</t>
  </si>
  <si>
    <t>Helyiségek, eszközök hasznosításából származó bevételből nyújtott kedvezmény, mentesség összege</t>
  </si>
  <si>
    <t>egyéb nyújtott kedvezmény vagy kölcsön elengedésének összege</t>
  </si>
  <si>
    <t>Összesen :</t>
  </si>
  <si>
    <t>Az Önkormányzat adósságállományának alakulása</t>
  </si>
  <si>
    <t>lejárat, eszközök bel- és külföldi hitelezők szerinti bontásban (Ft-ban)</t>
  </si>
  <si>
    <t>Felvétel</t>
  </si>
  <si>
    <t>Lejárat</t>
  </si>
  <si>
    <t>Állomány január 1-én (FT)</t>
  </si>
  <si>
    <t>Hitel jellege</t>
  </si>
  <si>
    <t>éve</t>
  </si>
  <si>
    <t>2023 után</t>
  </si>
  <si>
    <t>BELFÖLDI HITELEZŐK</t>
  </si>
  <si>
    <t>Működési célú hitel állomány + kamat</t>
  </si>
  <si>
    <t>Hitel összesen</t>
  </si>
  <si>
    <t>Kamat összesen</t>
  </si>
  <si>
    <t>Felhalmozási célú hitel állomány+kamat</t>
  </si>
  <si>
    <t>Füred Kemping vásárlása hitel</t>
  </si>
  <si>
    <t>Hitel összesen (7-10)</t>
  </si>
  <si>
    <t>Füred Kemping vásárlása hitel kamat</t>
  </si>
  <si>
    <t>Kamat összesen (12-15)</t>
  </si>
  <si>
    <t>Összesen: (1+6)</t>
  </si>
  <si>
    <t xml:space="preserve"> a szerződésben kapott, legalább háromszázhatvanöt nap időtartamú halasztott fizetés, részletfizetés, és a még ki nem fizetett ellenérték,</t>
  </si>
  <si>
    <t>DRV környezetvédelmi beruházások megvalósítása</t>
  </si>
  <si>
    <t>2005.</t>
  </si>
  <si>
    <t>2015.</t>
  </si>
  <si>
    <t>Balatoni Hajózási Zrt. részvények átvét. Tőkejuttatás</t>
  </si>
  <si>
    <t>2008.</t>
  </si>
  <si>
    <t>2018.</t>
  </si>
  <si>
    <t>2003.</t>
  </si>
  <si>
    <t>2020.</t>
  </si>
  <si>
    <t>2005-2009.</t>
  </si>
  <si>
    <t>2017-2019</t>
  </si>
  <si>
    <t>17.</t>
  </si>
  <si>
    <t>Összesen (13-16)</t>
  </si>
  <si>
    <t>18.</t>
  </si>
  <si>
    <t>KÜLFÖLDI HITELEZŐK</t>
  </si>
  <si>
    <t>19.</t>
  </si>
  <si>
    <t>20.</t>
  </si>
  <si>
    <t>21.</t>
  </si>
  <si>
    <t>22.</t>
  </si>
  <si>
    <t>23.</t>
  </si>
  <si>
    <t>24.</t>
  </si>
  <si>
    <t>25.</t>
  </si>
  <si>
    <t>26.</t>
  </si>
  <si>
    <t>27.</t>
  </si>
  <si>
    <t>28.</t>
  </si>
  <si>
    <t>29.</t>
  </si>
  <si>
    <t>Összesen: (19+24)</t>
  </si>
  <si>
    <t>30.</t>
  </si>
  <si>
    <t>Összesen: (11+17+29)</t>
  </si>
  <si>
    <t>TÖBBÉVES KIHATÁSSAL JÁRÓ DÖNTÉSEK SZÁMSZERŰSÍTVE ÉVENKÉNTI BONTÁSBAN ÉS ÖSSZESÍTVE</t>
  </si>
  <si>
    <t xml:space="preserve">Kötelezettség jogcíme </t>
  </si>
  <si>
    <t>Kötelezett-ségvállalás</t>
  </si>
  <si>
    <t>2019.12.31-ig kifizetés</t>
  </si>
  <si>
    <t xml:space="preserve">2019. évről áthúzódó </t>
  </si>
  <si>
    <t>2021.</t>
  </si>
  <si>
    <t>2022.</t>
  </si>
  <si>
    <t>2023.</t>
  </si>
  <si>
    <t>2023. után</t>
  </si>
  <si>
    <t>Tárgyéven túli köt. Összesen (7+8+9+10)</t>
  </si>
  <si>
    <t>Összesen (4+5+6+11)</t>
  </si>
  <si>
    <t xml:space="preserve">éve </t>
  </si>
  <si>
    <t>(aktuális  kv-i év)</t>
  </si>
  <si>
    <t>Működési célú hitel-törlesztés</t>
  </si>
  <si>
    <t>(tőke + kamat )</t>
  </si>
  <si>
    <t>Felhalmozási célú hitel-törlesztés</t>
  </si>
  <si>
    <t xml:space="preserve">(tőke + kamat) </t>
  </si>
  <si>
    <t>hitel összesen</t>
  </si>
  <si>
    <t>kamat összesen</t>
  </si>
  <si>
    <t>kezességvállalás: hitelek összesen</t>
  </si>
  <si>
    <t>kezességvállalás: hitelkamatok össz.</t>
  </si>
  <si>
    <t>Fejlesztés feladatonként</t>
  </si>
  <si>
    <t>Népház és posta rekonstrukciója pályázathoz kapcsolódó ingatlan karbantartás és fenntartás költségeire pénzügyi alap (220/2008)</t>
  </si>
  <si>
    <t>Mederhasználati díjra megkötött szerződés (lejár 2067.09.17)</t>
  </si>
  <si>
    <t>Panelprogram Köztársaság u. 19. tám (8/2009)</t>
  </si>
  <si>
    <t>Panelpromram Köztársaság u. 17. tám (9/2009)</t>
  </si>
  <si>
    <t>Panelprogram Köztársaság u.1. tám. (12/2009)</t>
  </si>
  <si>
    <t>2009.</t>
  </si>
  <si>
    <t>Balaton Mozi támogatása (53/2011)</t>
  </si>
  <si>
    <t>Balatonfüredi Yacht Club éves működési támogatásának biztosítása 10 éven keresztül 231/2013. (VII.05.)</t>
  </si>
  <si>
    <t>KMF Közép-magyarországi Fejlesztési Zrt. Konferencia Központ üzletrész részletek</t>
  </si>
  <si>
    <t>54/2016.(III.17.) Állami Szívkórház ingatlan bérleti szerződés a 403/15 hrsz-ú ingatlanra 25 éves időtartamra 3 MFt/év</t>
  </si>
  <si>
    <t>2016.</t>
  </si>
  <si>
    <t>54/2016.(III.17.) Állami Szívkórház éves támogatás biztosítása 2017-2021. évekre</t>
  </si>
  <si>
    <t>55/2016.(III.17.) Balatonfüredi Horgász Egyesület 403/16 hrsz-ú ingatlan bérleti szerződés 25 éves időtartamra 2 MFt/év</t>
  </si>
  <si>
    <t>55/2016.(III.17.) Balatonfüredi Horgász Egyesület csónak vételár</t>
  </si>
  <si>
    <t>146/2016.(V.06.) 072 hrsz-ú ingatlan megvásárlása</t>
  </si>
  <si>
    <t>86/2017. (III.30.) 072 hrsz-ú ingatlan megvásárlása átütemezés</t>
  </si>
  <si>
    <t>2017.</t>
  </si>
  <si>
    <t>316/2016.(X.27.) 0118/61 ingatlanra vonatkozó megállapodás megállapodásból eredő fiz. Köt.</t>
  </si>
  <si>
    <t>17/2017. (II.10.) ÉNYKK Zrt. 2014. évi veszteség rendezés</t>
  </si>
  <si>
    <t>211/2017. (VI.27.) Balatonfüred, Tamási Áron u. 27. Társasház külső felújítás  vissza nem térítendő támogatás</t>
  </si>
  <si>
    <t xml:space="preserve">212/2017.(VI.27.) GINOP-7.1.2-15. önrész biztosítása </t>
  </si>
  <si>
    <t>247/2017.(VII.27.) Bfüred, Arad u. 16. támogatása</t>
  </si>
  <si>
    <t>247/2017.(VII.27.) Bfüred, Arad u. 22. támogatása</t>
  </si>
  <si>
    <t>330/2017. (X.26.) Bfüred, Csárda u. 11. Társasház támogatás</t>
  </si>
  <si>
    <t>330/2017. (X.26.) Bfüred, Hárs köz 1.. Társasház támogatás</t>
  </si>
  <si>
    <t>Zsinagóga Felújítási Alap létrehozása</t>
  </si>
  <si>
    <t>4/2018 (I.30) GINOP-7.1.9-17 pályázat további saját forrás biztosítása</t>
  </si>
  <si>
    <t xml:space="preserve">Antenna Hungária Zrt. Wifi hálózat működtetése 60/2018. (III.01.) </t>
  </si>
  <si>
    <t xml:space="preserve">Kisfaludy programhoz bérleti díj Probiónak 65/2018. (III.12.) </t>
  </si>
  <si>
    <t>122/4 hrsz-ú ingatlanon mélygarázs vásárlás 58 db 2000000Ft+ áfa /db 91/2018. (III.29.)</t>
  </si>
  <si>
    <t>127/2018.(V.03) TOP-2.1.2-16-VE1-2017-00009 azonosítószámú, Balatonfüred Ófalu fejlesztése önrész 2018-2019. évek 50-50 %</t>
  </si>
  <si>
    <t>209/2018.(VII.11.) határozat alapján Balaton első négyévszakos családi élményháza Balatonfüreden projekt önrész 2018-2020. évek</t>
  </si>
  <si>
    <t>253/2018. (VIII.30.) településrendezési eszközök 2018. - 2019. évi ütem</t>
  </si>
  <si>
    <t>181/2018. (VI.27.) településrendezési eszközökkel kapcsolaos feladatokra megbízási szerződés (határozatlan)</t>
  </si>
  <si>
    <t>328/2018.(XI.22.) határozat alapján „TOP-4.1.1-15-VE1-2016-00019 azonosítószámú, „Az egészségügyi alapellátás-fejlesztése Balatonfüreden” című projekt önrész 2019.</t>
  </si>
  <si>
    <t>314/2018.(X.31.) Széchenyi srtand (18/6 hrsz) felújításának kivitelezése többlet forrás biztosítása pályázaton felül (nettó fedezet áfa visszaig.)</t>
  </si>
  <si>
    <t>313/2018.(X.31.) Balatonfüredi Utánpótlás Sport Club parkoló létesítése projekt TAO támogatás önrész biztosítása</t>
  </si>
  <si>
    <t>22/2019.(II.14.) Önkormányzati ingatlanok felújítása</t>
  </si>
  <si>
    <t>2019.</t>
  </si>
  <si>
    <t>114/2019.(IV.29.) Balatonfüred Város Sportjáért Közhasznú Alapítvány  Református Általános Iskola tornaterem felújítása TAO pályázati önrész  (Magyar Röplabda Szövetség)</t>
  </si>
  <si>
    <t>116/2019. (IV.29.) Balatonfüredi Utánpótlás Sport Club Radnóti Miklós Általános Iskola sportpálya burkolatcsere TAO pályázati önrész (MLSZ)</t>
  </si>
  <si>
    <t>117/2019.(IV.29.) Balatonfüredi Utánpótlás Sport Club Városi Uszoda fűtési rendszerének korszerűsítése TAO pályázati önrész (Magyar Vizilabda Szövetség)</t>
  </si>
  <si>
    <t>136/2019.(V.30.) Hunyadi utcai óvoda belső átalakítása bővítése</t>
  </si>
  <si>
    <t xml:space="preserve">140/2019. (V.30.) Északnyugat-magyarországi Közlekedési Központ Zrt. Megállapodás a Közszolgáltatási Szerződésből eredő 2015.,2016.,2017., évi bevétellel nem fedezett indokolt költségek ellentételezése érdekében részletfizetési megállapodás 39.471.090,-Ft 2019.09.30.-2023.03.31. 8 részletben </t>
  </si>
  <si>
    <t>190/2019.(VI.28.) Bfüred Siske u. 9. 1992 hrsz-ú ingatlan vásárlás két részletben</t>
  </si>
  <si>
    <t>237/2019.(VIII.21.) TOP-1.2.1-16-VE1-2019 Társadalmi és környezeti szempontból fenntartható turizmusfejlesztés önrész biztosítása</t>
  </si>
  <si>
    <t>283/2019. (IX,26.) Fényes Kagyló büfé ingatlan 403/27/A hrsz-ú ingatlan megvás. 2019. évi ütem 4 éves összesen 24 millió/4 év</t>
  </si>
  <si>
    <t>283/2019. (IX.26) Fényes Kagyló büfé ingatlan 403/27/A hrsz-ú ingatlan megvás. 2019. évi ütem 3 éves 15 millió/3 év</t>
  </si>
  <si>
    <t>287/2019.(X.07.) Molnár János rendkívüli települési támogatás</t>
  </si>
  <si>
    <t>291/2019. (X.07.) Ófalu 1544 és 1552/1hrsz-ú ingatlanok megvásárlása nettó 110 millió + 10,8 áfa=120,8 millió</t>
  </si>
  <si>
    <t>291/2019. (X.07.) Ófalu 1544 és 1552/1 hrsz-ú  üzleti érték megtérítése Nettó összeg</t>
  </si>
  <si>
    <t>315/2019.(XI.28.) P. Horváth M. u. légvezeték kiváltás kivitelezés</t>
  </si>
  <si>
    <t>316/2019.(XI.28.) Aszófői úti ingatlanok közművesítése kivitelezés</t>
  </si>
  <si>
    <t>330/2019.(XII.12.) Balaton-felvidéki Nemzeti Park Igazgatóság Lóczy Barlang Látogatóközpont kivitelezését magában foglaló "Rejtett kincsek a Balaton-felvidéki Nemzeti parkban" projekt önerőhöz hozzájárulás</t>
  </si>
  <si>
    <t>344/2019. (XII.12.) Táncsics u. 7. bérleti jogról való lemondás Római Katolikus Plébánia</t>
  </si>
  <si>
    <t xml:space="preserve">357/2019.(XII.12.) Kéki u. 5 lakás vásárlás </t>
  </si>
  <si>
    <t>Összesen: (1+4+9)</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</si>
</sst>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F_t_-;\-* #,##0.00\ _F_t_-;_-* &quot;-&quot;??\ _F_t_-;_-@_-"/>
    <numFmt numFmtId="164" formatCode="mmm\ d/"/>
    <numFmt numFmtId="165" formatCode="#,##0.0"/>
    <numFmt numFmtId="166" formatCode="0.0"/>
    <numFmt numFmtId="167" formatCode="#,##0;[Red]#,##0"/>
    <numFmt numFmtId="168" formatCode="#\ ##0"/>
  </numFmts>
  <fonts count="64" x14ac:knownFonts="1">
    <font>
      <sz val="10"/>
      <name val="Arial"/>
      <family val="2"/>
      <charset val="238"/>
    </font>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sz val="10"/>
      <name val="Arial"/>
      <family val="2"/>
      <charset val="238"/>
    </font>
    <font>
      <sz val="12"/>
      <color indexed="10"/>
      <name val="Arial"/>
      <family val="2"/>
      <charset val="238"/>
    </font>
    <font>
      <b/>
      <i/>
      <sz val="10"/>
      <name val="Arial"/>
      <family val="2"/>
      <charset val="238"/>
    </font>
    <font>
      <b/>
      <sz val="12"/>
      <name val="Times New Roman"/>
      <family val="1"/>
      <charset val="238"/>
    </font>
    <font>
      <sz val="10"/>
      <name val="Arial CE"/>
      <charset val="238"/>
    </font>
    <font>
      <sz val="11"/>
      <color theme="1"/>
      <name val="Calibri"/>
      <family val="2"/>
      <scheme val="minor"/>
    </font>
    <font>
      <sz val="11"/>
      <color theme="1"/>
      <name val="Calibri"/>
      <family val="2"/>
      <charset val="238"/>
      <scheme val="minor"/>
    </font>
    <font>
      <sz val="11"/>
      <color rgb="FFFF0000"/>
      <name val="Arial"/>
      <family val="2"/>
      <charset val="238"/>
    </font>
    <font>
      <b/>
      <sz val="11"/>
      <name val="Times New Roman"/>
      <family val="1"/>
      <charset val="238"/>
    </font>
    <font>
      <b/>
      <sz val="10"/>
      <name val="Times New Roman"/>
      <family val="1"/>
      <charset val="238"/>
    </font>
    <font>
      <i/>
      <sz val="12"/>
      <name val="Arial"/>
      <family val="2"/>
      <charset val="238"/>
    </font>
    <font>
      <sz val="12"/>
      <name val="Arial CE"/>
      <family val="2"/>
      <charset val="238"/>
    </font>
    <font>
      <i/>
      <sz val="14"/>
      <name val="Arial"/>
      <family val="2"/>
      <charset val="238"/>
    </font>
    <font>
      <b/>
      <i/>
      <u/>
      <sz val="10"/>
      <name val="Arial"/>
      <family val="2"/>
      <charset val="238"/>
    </font>
    <font>
      <sz val="10"/>
      <color indexed="8"/>
      <name val="Arial"/>
      <family val="2"/>
      <charset val="238"/>
    </font>
    <font>
      <b/>
      <sz val="10"/>
      <color indexed="8"/>
      <name val="Arial"/>
      <family val="2"/>
      <charset val="238"/>
    </font>
    <font>
      <sz val="11"/>
      <color rgb="FF000000"/>
      <name val="Tahoma"/>
      <family val="2"/>
      <charset val="238"/>
    </font>
    <font>
      <i/>
      <sz val="10"/>
      <name val="Times New Roman"/>
      <family val="1"/>
      <charset val="238"/>
    </font>
    <font>
      <sz val="12"/>
      <color rgb="FF000000"/>
      <name val="Arial"/>
      <family val="2"/>
      <charset val="238"/>
    </font>
    <font>
      <b/>
      <sz val="10"/>
      <name val="Arial CE"/>
      <family val="2"/>
      <charset val="238"/>
    </font>
    <font>
      <sz val="10"/>
      <name val="Times New Roman CE"/>
      <charset val="238"/>
    </font>
    <font>
      <sz val="10"/>
      <name val="Times New Roman CE"/>
      <family val="1"/>
      <charset val="238"/>
    </font>
    <font>
      <b/>
      <sz val="9"/>
      <name val="Arial CE"/>
      <family val="2"/>
      <charset val="238"/>
    </font>
    <font>
      <sz val="9"/>
      <name val="Arial CE"/>
      <family val="2"/>
      <charset val="238"/>
    </font>
    <font>
      <b/>
      <sz val="9"/>
      <name val="Arial CE"/>
      <charset val="238"/>
    </font>
    <font>
      <b/>
      <sz val="10"/>
      <name val="Arial CE"/>
      <charset val="238"/>
    </font>
    <font>
      <sz val="12"/>
      <name val="Arial CE"/>
      <charset val="238"/>
    </font>
    <font>
      <b/>
      <sz val="12"/>
      <name val="Arial CE"/>
      <family val="2"/>
      <charset val="238"/>
    </font>
    <font>
      <sz val="14"/>
      <name val="Arial"/>
      <family val="2"/>
      <charset val="238"/>
    </font>
    <font>
      <sz val="12"/>
      <color rgb="FFFF0000"/>
      <name val="Arial"/>
      <family val="2"/>
      <charset val="23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theme="0"/>
        <bgColor indexed="64"/>
      </patternFill>
    </fill>
    <fill>
      <patternFill patternType="solid">
        <fgColor theme="0"/>
        <bgColor indexed="41"/>
      </patternFill>
    </fill>
    <fill>
      <patternFill patternType="solid">
        <fgColor indexed="9"/>
        <bgColor indexed="8"/>
      </patternFill>
    </fill>
    <fill>
      <patternFill patternType="solid">
        <fgColor theme="0"/>
        <bgColor indexed="26"/>
      </patternFill>
    </fill>
    <fill>
      <patternFill patternType="solid">
        <fgColor indexed="9"/>
        <bgColor indexed="34"/>
      </patternFill>
    </fill>
    <fill>
      <patternFill patternType="solid">
        <fgColor theme="0"/>
        <bgColor indexed="22"/>
      </patternFill>
    </fill>
  </fills>
  <borders count="14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8"/>
      </top>
      <bottom/>
      <diagonal/>
    </border>
    <border>
      <left style="thin">
        <color indexed="8"/>
      </left>
      <right/>
      <top style="thin">
        <color indexed="8"/>
      </top>
      <bottom/>
      <diagonal/>
    </border>
    <border>
      <left style="thin">
        <color indexed="8"/>
      </left>
      <right/>
      <top/>
      <bottom/>
      <diagonal/>
    </border>
    <border>
      <left style="medium">
        <color indexed="64"/>
      </left>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8"/>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thin">
        <color indexed="8"/>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8"/>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8"/>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8"/>
      </right>
      <top style="medium">
        <color indexed="64"/>
      </top>
      <bottom style="medium">
        <color indexed="64"/>
      </bottom>
      <diagonal/>
    </border>
    <border>
      <left style="medium">
        <color indexed="64"/>
      </left>
      <right style="thin">
        <color indexed="64"/>
      </right>
      <top style="thin">
        <color indexed="8"/>
      </top>
      <bottom style="thin">
        <color indexed="64"/>
      </bottom>
      <diagonal/>
    </border>
    <border>
      <left/>
      <right style="medium">
        <color indexed="64"/>
      </right>
      <top style="thin">
        <color indexed="64"/>
      </top>
      <bottom style="medium">
        <color indexed="64"/>
      </bottom>
      <diagonal/>
    </border>
    <border>
      <left style="thin">
        <color indexed="8"/>
      </left>
      <right style="thin">
        <color indexed="8"/>
      </right>
      <top style="medium">
        <color indexed="64"/>
      </top>
      <bottom style="medium">
        <color indexed="64"/>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8"/>
      </left>
      <right style="medium">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medium">
        <color indexed="64"/>
      </right>
      <top style="thin">
        <color indexed="8"/>
      </top>
      <bottom style="thin">
        <color indexed="8"/>
      </bottom>
      <diagonal/>
    </border>
    <border>
      <left/>
      <right style="thin">
        <color indexed="8"/>
      </right>
      <top style="thin">
        <color indexed="8"/>
      </top>
      <bottom/>
      <diagonal/>
    </border>
    <border>
      <left style="medium">
        <color indexed="64"/>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medium">
        <color indexed="64"/>
      </left>
      <right style="thin">
        <color indexed="8"/>
      </right>
      <top style="medium">
        <color indexed="64"/>
      </top>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thin">
        <color indexed="8"/>
      </left>
      <right style="medium">
        <color indexed="64"/>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64"/>
      </right>
      <top style="thin">
        <color indexed="64"/>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medium">
        <color indexed="64"/>
      </top>
      <bottom/>
      <diagonal/>
    </border>
    <border>
      <left style="medium">
        <color indexed="64"/>
      </left>
      <right style="medium">
        <color indexed="64"/>
      </right>
      <top/>
      <bottom style="thin">
        <color indexed="8"/>
      </bottom>
      <diagonal/>
    </border>
    <border>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right style="thin">
        <color indexed="64"/>
      </right>
      <top style="thin">
        <color indexed="64"/>
      </top>
      <bottom style="thin">
        <color indexed="8"/>
      </bottom>
      <diagonal/>
    </border>
    <border>
      <left style="medium">
        <color indexed="64"/>
      </left>
      <right style="medium">
        <color indexed="64"/>
      </right>
      <top style="thin">
        <color indexed="8"/>
      </top>
      <bottom/>
      <diagonal/>
    </border>
    <border>
      <left/>
      <right style="medium">
        <color indexed="64"/>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thin">
        <color indexed="8"/>
      </left>
      <right style="thin">
        <color indexed="8"/>
      </right>
      <top style="medium">
        <color indexed="64"/>
      </top>
      <bottom/>
      <diagonal/>
    </border>
    <border>
      <left/>
      <right style="thin">
        <color indexed="8"/>
      </right>
      <top style="medium">
        <color indexed="64"/>
      </top>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64"/>
      </right>
      <top style="thin">
        <color indexed="64"/>
      </top>
      <bottom style="thin">
        <color indexed="8"/>
      </bottom>
      <diagonal/>
    </border>
    <border>
      <left style="thin">
        <color indexed="64"/>
      </left>
      <right style="thin">
        <color indexed="8"/>
      </right>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8"/>
      </left>
      <right style="thin">
        <color indexed="8"/>
      </right>
      <top/>
      <bottom/>
      <diagonal/>
    </border>
    <border>
      <left/>
      <right style="thin">
        <color indexed="8"/>
      </right>
      <top/>
      <bottom/>
      <diagonal/>
    </border>
    <border>
      <left style="thin">
        <color indexed="64"/>
      </left>
      <right style="thin">
        <color indexed="64"/>
      </right>
      <top/>
      <bottom/>
      <diagonal/>
    </border>
  </borders>
  <cellStyleXfs count="151">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6" fillId="22" borderId="0" applyNumberFormat="0" applyBorder="0" applyAlignment="0" applyProtection="0"/>
    <xf numFmtId="0" fontId="4" fillId="7" borderId="1" applyNumberFormat="0" applyAlignment="0" applyProtection="0"/>
    <xf numFmtId="0" fontId="4" fillId="7" borderId="1" applyNumberFormat="0" applyAlignment="0" applyProtection="0"/>
    <xf numFmtId="0" fontId="18" fillId="23" borderId="1" applyNumberFormat="0" applyAlignment="0" applyProtection="0"/>
    <xf numFmtId="0" fontId="9" fillId="24" borderId="2"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8" fillId="0" borderId="0"/>
    <xf numFmtId="0" fontId="14" fillId="0" borderId="0" applyNumberFormat="0" applyFill="0" applyBorder="0" applyAlignment="0" applyProtection="0"/>
    <xf numFmtId="43" fontId="28" fillId="0" borderId="0" applyFont="0" applyFill="0" applyBorder="0" applyAlignment="0" applyProtection="0"/>
    <xf numFmtId="43" fontId="28" fillId="0" borderId="0" applyFill="0" applyBorder="0" applyAlignment="0" applyProtection="0"/>
    <xf numFmtId="43" fontId="34" fillId="0" borderId="0" applyFill="0" applyBorder="0" applyAlignment="0" applyProtection="0"/>
    <xf numFmtId="43" fontId="2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2" fillId="25" borderId="0" applyNumberFormat="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4" fillId="7" borderId="1" applyNumberFormat="0" applyAlignment="0" applyProtection="0"/>
    <xf numFmtId="0" fontId="28" fillId="26" borderId="7" applyNumberFormat="0" applyFont="0" applyAlignment="0" applyProtection="0"/>
    <xf numFmtId="0" fontId="28" fillId="26" borderId="7" applyNumberFormat="0" applyFont="0" applyAlignment="0" applyProtection="0"/>
    <xf numFmtId="0" fontId="13" fillId="27" borderId="8" applyNumberFormat="0" applyAlignment="0" applyProtection="0"/>
    <xf numFmtId="0" fontId="13" fillId="27" borderId="8" applyNumberFormat="0" applyAlignment="0" applyProtection="0"/>
    <xf numFmtId="0" fontId="11" fillId="0" borderId="6" applyNumberFormat="0" applyFill="0" applyAlignment="0" applyProtection="0"/>
    <xf numFmtId="0" fontId="17" fillId="28" borderId="0" applyNumberFormat="0" applyBorder="0" applyAlignment="0" applyProtection="0"/>
    <xf numFmtId="0" fontId="28" fillId="0" borderId="0"/>
    <xf numFmtId="0" fontId="39" fillId="0" borderId="0"/>
    <xf numFmtId="0" fontId="40" fillId="0" borderId="0"/>
    <xf numFmtId="0" fontId="40" fillId="0" borderId="0"/>
    <xf numFmtId="0" fontId="28" fillId="0" borderId="0"/>
    <xf numFmtId="0" fontId="28" fillId="0" borderId="0"/>
    <xf numFmtId="0" fontId="15" fillId="0" borderId="0"/>
    <xf numFmtId="0" fontId="28" fillId="0" borderId="0"/>
    <xf numFmtId="0" fontId="28" fillId="0" borderId="0"/>
    <xf numFmtId="0" fontId="28" fillId="0" borderId="0"/>
    <xf numFmtId="0" fontId="28" fillId="0" borderId="0"/>
    <xf numFmtId="0" fontId="15" fillId="0" borderId="0"/>
    <xf numFmtId="0" fontId="28" fillId="0" borderId="0"/>
    <xf numFmtId="0" fontId="15" fillId="0" borderId="0"/>
    <xf numFmtId="0" fontId="15" fillId="0" borderId="0"/>
    <xf numFmtId="0" fontId="15" fillId="0" borderId="0"/>
    <xf numFmtId="0" fontId="28"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19" fillId="0" borderId="9" applyNumberFormat="0" applyFill="0" applyAlignment="0" applyProtection="0"/>
    <xf numFmtId="0" fontId="5" fillId="0" borderId="0" applyNumberFormat="0" applyFill="0" applyBorder="0" applyAlignment="0" applyProtection="0"/>
    <xf numFmtId="0" fontId="19" fillId="0" borderId="9" applyNumberFormat="0" applyFill="0" applyAlignment="0" applyProtection="0"/>
    <xf numFmtId="0" fontId="10" fillId="0" borderId="0" applyNumberFormat="0" applyFill="0" applyBorder="0" applyAlignment="0" applyProtection="0"/>
    <xf numFmtId="0" fontId="9" fillId="24" borderId="2" applyNumberFormat="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2" fillId="25" borderId="0" applyNumberFormat="0" applyBorder="0" applyAlignment="0" applyProtection="0"/>
    <xf numFmtId="0" fontId="14" fillId="0" borderId="0" applyNumberFormat="0" applyFill="0" applyBorder="0" applyAlignment="0" applyProtection="0"/>
    <xf numFmtId="0" fontId="2" fillId="0" borderId="0"/>
    <xf numFmtId="0" fontId="38" fillId="0" borderId="0"/>
    <xf numFmtId="0" fontId="16" fillId="22" borderId="0" applyNumberFormat="0" applyBorder="0" applyAlignment="0" applyProtection="0"/>
    <xf numFmtId="0" fontId="17" fillId="28" borderId="0" applyNumberFormat="0" applyBorder="0" applyAlignment="0" applyProtection="0"/>
    <xf numFmtId="0" fontId="18" fillId="23" borderId="1" applyNumberFormat="0" applyAlignment="0" applyProtection="0"/>
    <xf numFmtId="0" fontId="1" fillId="0" borderId="0"/>
    <xf numFmtId="0" fontId="1" fillId="0" borderId="0"/>
    <xf numFmtId="0" fontId="1" fillId="0" borderId="0"/>
    <xf numFmtId="0" fontId="28" fillId="0" borderId="0"/>
    <xf numFmtId="0" fontId="15" fillId="0" borderId="0"/>
    <xf numFmtId="0" fontId="28" fillId="0" borderId="0"/>
    <xf numFmtId="0" fontId="28" fillId="0" borderId="0"/>
    <xf numFmtId="0" fontId="15" fillId="0" borderId="0"/>
    <xf numFmtId="0" fontId="28" fillId="0" borderId="0"/>
    <xf numFmtId="0" fontId="28" fillId="0" borderId="0"/>
    <xf numFmtId="0" fontId="38" fillId="0" borderId="0"/>
    <xf numFmtId="0" fontId="28" fillId="0" borderId="0"/>
    <xf numFmtId="0" fontId="28" fillId="0" borderId="0"/>
    <xf numFmtId="0" fontId="28" fillId="0" borderId="0"/>
    <xf numFmtId="0" fontId="54" fillId="0" borderId="0"/>
    <xf numFmtId="0" fontId="55" fillId="0" borderId="0"/>
  </cellStyleXfs>
  <cellXfs count="2022">
    <xf numFmtId="0" fontId="0" fillId="0" borderId="0" xfId="0"/>
    <xf numFmtId="0" fontId="22" fillId="0" borderId="0" xfId="106" applyFont="1"/>
    <xf numFmtId="3" fontId="22" fillId="0" borderId="0" xfId="106" applyNumberFormat="1" applyFont="1"/>
    <xf numFmtId="3" fontId="22" fillId="0" borderId="0" xfId="106" applyNumberFormat="1" applyFont="1" applyFill="1"/>
    <xf numFmtId="0" fontId="22" fillId="0" borderId="0" xfId="106" applyFont="1" applyFill="1"/>
    <xf numFmtId="0" fontId="25" fillId="0" borderId="0" xfId="110" applyFont="1" applyFill="1" applyAlignment="1">
      <alignment horizontal="center" vertical="center" wrapText="1"/>
    </xf>
    <xf numFmtId="3" fontId="25" fillId="0" borderId="0" xfId="110" applyNumberFormat="1" applyFont="1" applyFill="1" applyAlignment="1">
      <alignment horizontal="center" vertical="center" wrapText="1"/>
    </xf>
    <xf numFmtId="0" fontId="26" fillId="0" borderId="0" xfId="106" applyFont="1" applyFill="1" applyBorder="1"/>
    <xf numFmtId="0" fontId="26" fillId="0" borderId="0" xfId="106" applyFont="1"/>
    <xf numFmtId="0" fontId="28" fillId="0" borderId="0" xfId="106" applyFont="1"/>
    <xf numFmtId="0" fontId="28" fillId="0" borderId="0" xfId="113" applyFont="1"/>
    <xf numFmtId="0" fontId="28" fillId="0" borderId="0" xfId="113" applyFont="1" applyAlignment="1">
      <alignment horizontal="center" vertical="center"/>
    </xf>
    <xf numFmtId="0" fontId="22" fillId="0" borderId="0" xfId="113" applyFont="1" applyBorder="1"/>
    <xf numFmtId="0" fontId="22" fillId="0" borderId="0" xfId="113" applyFont="1"/>
    <xf numFmtId="0" fontId="22" fillId="29" borderId="0" xfId="113" applyFont="1" applyFill="1" applyBorder="1"/>
    <xf numFmtId="0" fontId="22" fillId="29" borderId="0" xfId="113" applyFont="1" applyFill="1"/>
    <xf numFmtId="0" fontId="28" fillId="0" borderId="0" xfId="113" applyFont="1" applyBorder="1"/>
    <xf numFmtId="0" fontId="28" fillId="0" borderId="0" xfId="113" applyFont="1" applyAlignment="1">
      <alignment wrapText="1"/>
    </xf>
    <xf numFmtId="0" fontId="29" fillId="0" borderId="0" xfId="113" applyFont="1" applyBorder="1"/>
    <xf numFmtId="0" fontId="29" fillId="29" borderId="0" xfId="113" applyFont="1" applyFill="1" applyBorder="1"/>
    <xf numFmtId="0" fontId="30" fillId="29" borderId="0" xfId="113" applyFont="1" applyFill="1" applyBorder="1"/>
    <xf numFmtId="0" fontId="31" fillId="29" borderId="0" xfId="113" applyFont="1" applyFill="1" applyBorder="1"/>
    <xf numFmtId="0" fontId="32" fillId="29" borderId="0" xfId="113" applyFont="1" applyFill="1" applyBorder="1"/>
    <xf numFmtId="3" fontId="30" fillId="29" borderId="0" xfId="113" applyNumberFormat="1" applyFont="1" applyFill="1" applyBorder="1" applyAlignment="1">
      <alignment vertical="center"/>
    </xf>
    <xf numFmtId="0" fontId="30" fillId="29" borderId="0" xfId="113" applyFont="1" applyFill="1" applyBorder="1" applyAlignment="1">
      <alignment vertical="center"/>
    </xf>
    <xf numFmtId="0" fontId="29" fillId="29" borderId="0" xfId="113" applyFont="1" applyFill="1" applyBorder="1" applyAlignment="1">
      <alignment vertical="center" wrapText="1"/>
    </xf>
    <xf numFmtId="0" fontId="29" fillId="29" borderId="0" xfId="113" applyFont="1" applyFill="1" applyBorder="1" applyAlignment="1">
      <alignment vertical="center"/>
    </xf>
    <xf numFmtId="0" fontId="20" fillId="0" borderId="10" xfId="113" applyFont="1" applyBorder="1"/>
    <xf numFmtId="0" fontId="20" fillId="0" borderId="10" xfId="113" applyFont="1" applyFill="1" applyBorder="1"/>
    <xf numFmtId="0" fontId="20" fillId="0" borderId="0" xfId="113" applyFont="1" applyBorder="1"/>
    <xf numFmtId="0" fontId="20" fillId="0" borderId="0" xfId="113" applyFont="1" applyFill="1" applyBorder="1"/>
    <xf numFmtId="0" fontId="30" fillId="0" borderId="0" xfId="113" applyFont="1" applyBorder="1"/>
    <xf numFmtId="0" fontId="22" fillId="0" borderId="0" xfId="113" applyFont="1" applyAlignment="1">
      <alignment wrapText="1"/>
    </xf>
    <xf numFmtId="0" fontId="27" fillId="0" borderId="0" xfId="113" applyFont="1" applyAlignment="1">
      <alignment horizontal="center" vertical="center" wrapText="1"/>
    </xf>
    <xf numFmtId="0" fontId="28" fillId="29" borderId="0" xfId="113" applyFont="1" applyFill="1" applyBorder="1"/>
    <xf numFmtId="0" fontId="28" fillId="29" borderId="0" xfId="113" applyFont="1" applyFill="1"/>
    <xf numFmtId="3" fontId="28" fillId="0" borderId="0" xfId="113" applyNumberFormat="1" applyFont="1" applyBorder="1"/>
    <xf numFmtId="0" fontId="28" fillId="0" borderId="0" xfId="113" applyFont="1" applyFill="1" applyBorder="1"/>
    <xf numFmtId="0" fontId="28" fillId="0" borderId="0" xfId="113" applyFont="1" applyFill="1"/>
    <xf numFmtId="3" fontId="22" fillId="0" borderId="0" xfId="113" applyNumberFormat="1" applyFont="1" applyBorder="1"/>
    <xf numFmtId="3" fontId="28" fillId="0" borderId="0" xfId="106" applyNumberFormat="1" applyFont="1"/>
    <xf numFmtId="0" fontId="27" fillId="0" borderId="0" xfId="113" applyFont="1" applyAlignment="1">
      <alignment horizontal="center"/>
    </xf>
    <xf numFmtId="0" fontId="28" fillId="0" borderId="0" xfId="106" applyFont="1" applyAlignment="1">
      <alignment horizontal="right"/>
    </xf>
    <xf numFmtId="0" fontId="25" fillId="0" borderId="0" xfId="113" applyFont="1" applyFill="1" applyBorder="1" applyAlignment="1">
      <alignment horizontal="left" vertical="center" wrapText="1" indent="1"/>
    </xf>
    <xf numFmtId="3" fontId="25" fillId="0" borderId="0" xfId="113" applyNumberFormat="1" applyFont="1" applyFill="1" applyBorder="1"/>
    <xf numFmtId="0" fontId="25" fillId="0" borderId="0" xfId="113" applyFont="1" applyFill="1" applyBorder="1" applyAlignment="1">
      <alignment horizontal="left" vertical="center" wrapText="1" indent="2"/>
    </xf>
    <xf numFmtId="3" fontId="25" fillId="0" borderId="0" xfId="113" applyNumberFormat="1" applyFont="1" applyFill="1" applyBorder="1" applyAlignment="1">
      <alignment horizontal="right" wrapText="1"/>
    </xf>
    <xf numFmtId="0" fontId="26" fillId="0" borderId="0" xfId="113" applyFont="1" applyFill="1" applyBorder="1"/>
    <xf numFmtId="3" fontId="26" fillId="0" borderId="0" xfId="113" applyNumberFormat="1" applyFont="1" applyFill="1" applyBorder="1" applyAlignment="1">
      <alignment horizontal="right" wrapText="1"/>
    </xf>
    <xf numFmtId="0" fontId="26" fillId="0" borderId="0" xfId="113" applyFont="1" applyFill="1" applyBorder="1" applyAlignment="1">
      <alignment horizontal="left" vertical="center" wrapText="1" indent="2"/>
    </xf>
    <xf numFmtId="0" fontId="26" fillId="0" borderId="0" xfId="113" applyFont="1" applyFill="1" applyBorder="1" applyAlignment="1">
      <alignment horizontal="left" vertical="center" wrapText="1" indent="1"/>
    </xf>
    <xf numFmtId="0" fontId="28" fillId="0" borderId="0" xfId="110" applyFont="1" applyFill="1"/>
    <xf numFmtId="3" fontId="22" fillId="0" borderId="0" xfId="104" applyNumberFormat="1" applyFont="1" applyBorder="1" applyAlignment="1">
      <alignment horizontal="center"/>
    </xf>
    <xf numFmtId="3" fontId="28" fillId="0" borderId="0" xfId="104" applyNumberFormat="1" applyFont="1"/>
    <xf numFmtId="3" fontId="28" fillId="0" borderId="0" xfId="104" applyNumberFormat="1" applyFont="1" applyAlignment="1">
      <alignment horizontal="center"/>
    </xf>
    <xf numFmtId="0" fontId="28" fillId="0" borderId="0" xfId="104" applyFont="1"/>
    <xf numFmtId="3" fontId="22" fillId="0" borderId="0" xfId="104" applyNumberFormat="1" applyFont="1" applyBorder="1"/>
    <xf numFmtId="3" fontId="28" fillId="0" borderId="0" xfId="104" applyNumberFormat="1" applyFont="1" applyFill="1" applyBorder="1"/>
    <xf numFmtId="3" fontId="28" fillId="0" borderId="0" xfId="104" applyNumberFormat="1" applyFont="1" applyFill="1"/>
    <xf numFmtId="3" fontId="28" fillId="0" borderId="0" xfId="104" applyNumberFormat="1" applyFont="1" applyFill="1" applyAlignment="1">
      <alignment horizontal="center"/>
    </xf>
    <xf numFmtId="0" fontId="28" fillId="0" borderId="0" xfId="104" applyFont="1" applyFill="1"/>
    <xf numFmtId="167" fontId="28" fillId="0" borderId="0" xfId="106" applyNumberFormat="1" applyFont="1" applyFill="1" applyBorder="1" applyAlignment="1">
      <alignment horizontal="right" vertical="top" wrapText="1"/>
    </xf>
    <xf numFmtId="167" fontId="28" fillId="0" borderId="0" xfId="106" applyNumberFormat="1" applyFont="1" applyBorder="1" applyAlignment="1">
      <alignment horizontal="right" vertical="top" wrapText="1"/>
    </xf>
    <xf numFmtId="3" fontId="22" fillId="0" borderId="0" xfId="104" applyNumberFormat="1" applyFont="1"/>
    <xf numFmtId="3" fontId="22" fillId="0" borderId="0" xfId="104" applyNumberFormat="1" applyFont="1" applyAlignment="1">
      <alignment horizontal="center"/>
    </xf>
    <xf numFmtId="0" fontId="22" fillId="0" borderId="0" xfId="104" applyFont="1"/>
    <xf numFmtId="0" fontId="28" fillId="0" borderId="0" xfId="106" applyFont="1" applyAlignment="1">
      <alignment wrapText="1"/>
    </xf>
    <xf numFmtId="3" fontId="26" fillId="0" borderId="0" xfId="104" applyNumberFormat="1" applyFont="1" applyAlignment="1">
      <alignment wrapText="1"/>
    </xf>
    <xf numFmtId="0" fontId="28" fillId="0" borderId="10" xfId="113" applyFont="1" applyBorder="1"/>
    <xf numFmtId="0" fontId="28" fillId="0" borderId="11" xfId="113" applyFont="1" applyBorder="1"/>
    <xf numFmtId="0" fontId="28" fillId="0" borderId="12" xfId="113" applyFont="1" applyBorder="1"/>
    <xf numFmtId="3" fontId="26" fillId="0" borderId="14" xfId="104" applyNumberFormat="1" applyFont="1" applyFill="1" applyBorder="1" applyAlignment="1">
      <alignment wrapText="1"/>
    </xf>
    <xf numFmtId="3" fontId="25" fillId="0" borderId="15" xfId="104" applyNumberFormat="1" applyFont="1" applyBorder="1" applyAlignment="1">
      <alignment wrapText="1"/>
    </xf>
    <xf numFmtId="0" fontId="21" fillId="29" borderId="16" xfId="113" applyFont="1" applyFill="1" applyBorder="1"/>
    <xf numFmtId="3" fontId="20" fillId="0" borderId="16" xfId="113" applyNumberFormat="1" applyFont="1" applyBorder="1" applyAlignment="1">
      <alignment horizontal="right"/>
    </xf>
    <xf numFmtId="3" fontId="20" fillId="0" borderId="16" xfId="113" applyNumberFormat="1" applyFont="1" applyBorder="1"/>
    <xf numFmtId="3" fontId="21" fillId="0" borderId="16" xfId="113" applyNumberFormat="1" applyFont="1" applyBorder="1"/>
    <xf numFmtId="0" fontId="25" fillId="0" borderId="18" xfId="113" applyFont="1" applyFill="1" applyBorder="1" applyAlignment="1">
      <alignment horizontal="center" vertical="center" wrapText="1"/>
    </xf>
    <xf numFmtId="3" fontId="22" fillId="29" borderId="16" xfId="113" applyNumberFormat="1" applyFont="1" applyFill="1" applyBorder="1" applyAlignment="1">
      <alignment horizontal="right" wrapText="1"/>
    </xf>
    <xf numFmtId="3" fontId="28" fillId="29" borderId="16" xfId="113" applyNumberFormat="1" applyFont="1" applyFill="1" applyBorder="1" applyAlignment="1">
      <alignment horizontal="right" wrapText="1"/>
    </xf>
    <xf numFmtId="3" fontId="25" fillId="0" borderId="16" xfId="113" applyNumberFormat="1" applyFont="1" applyFill="1" applyBorder="1" applyAlignment="1">
      <alignment horizontal="right" wrapText="1"/>
    </xf>
    <xf numFmtId="3" fontId="26" fillId="0" borderId="16" xfId="113" applyNumberFormat="1" applyFont="1" applyFill="1" applyBorder="1" applyAlignment="1">
      <alignment horizontal="right" wrapText="1"/>
    </xf>
    <xf numFmtId="3" fontId="25" fillId="0" borderId="20" xfId="104" applyNumberFormat="1" applyFont="1" applyBorder="1" applyAlignment="1">
      <alignment wrapText="1"/>
    </xf>
    <xf numFmtId="3" fontId="22" fillId="29" borderId="17" xfId="113" applyNumberFormat="1" applyFont="1" applyFill="1" applyBorder="1" applyAlignment="1">
      <alignment horizontal="right" wrapText="1"/>
    </xf>
    <xf numFmtId="3" fontId="28" fillId="29" borderId="17" xfId="113" applyNumberFormat="1" applyFont="1" applyFill="1" applyBorder="1" applyAlignment="1">
      <alignment horizontal="right" wrapText="1"/>
    </xf>
    <xf numFmtId="3" fontId="20" fillId="0" borderId="22" xfId="113" applyNumberFormat="1" applyFont="1" applyBorder="1" applyAlignment="1">
      <alignment horizontal="right"/>
    </xf>
    <xf numFmtId="0" fontId="20" fillId="0" borderId="14" xfId="106" applyFont="1" applyBorder="1" applyAlignment="1">
      <alignment wrapText="1"/>
    </xf>
    <xf numFmtId="0" fontId="22" fillId="0" borderId="0" xfId="113" applyFont="1" applyFill="1" applyBorder="1"/>
    <xf numFmtId="0" fontId="22" fillId="0" borderId="0" xfId="110" applyFont="1" applyFill="1"/>
    <xf numFmtId="3" fontId="22" fillId="0" borderId="0" xfId="104" applyNumberFormat="1" applyFont="1" applyFill="1" applyBorder="1"/>
    <xf numFmtId="3" fontId="22" fillId="0" borderId="0" xfId="104" applyNumberFormat="1" applyFont="1" applyFill="1"/>
    <xf numFmtId="3" fontId="22" fillId="0" borderId="0" xfId="104" applyNumberFormat="1" applyFont="1" applyFill="1" applyAlignment="1">
      <alignment horizontal="center"/>
    </xf>
    <xf numFmtId="0" fontId="22" fillId="0" borderId="0" xfId="104" applyFont="1" applyFill="1"/>
    <xf numFmtId="167" fontId="22" fillId="0" borderId="0" xfId="106" applyNumberFormat="1" applyFont="1" applyBorder="1" applyAlignment="1">
      <alignment horizontal="right" vertical="top" wrapText="1"/>
    </xf>
    <xf numFmtId="0" fontId="0" fillId="0" borderId="0" xfId="0" applyFont="1"/>
    <xf numFmtId="3" fontId="21" fillId="29" borderId="16" xfId="113" applyNumberFormat="1" applyFont="1" applyFill="1" applyBorder="1" applyAlignment="1">
      <alignment horizontal="right" wrapText="1"/>
    </xf>
    <xf numFmtId="3" fontId="20" fillId="29" borderId="16" xfId="107" applyNumberFormat="1" applyFont="1" applyFill="1" applyBorder="1"/>
    <xf numFmtId="0" fontId="20" fillId="0" borderId="17" xfId="107" applyFont="1" applyFill="1" applyBorder="1"/>
    <xf numFmtId="0" fontId="20" fillId="0" borderId="16" xfId="0" applyFont="1" applyBorder="1"/>
    <xf numFmtId="0" fontId="20" fillId="0" borderId="16" xfId="107" applyFont="1" applyFill="1" applyBorder="1"/>
    <xf numFmtId="0" fontId="21" fillId="0" borderId="16" xfId="107" applyFont="1" applyFill="1" applyBorder="1"/>
    <xf numFmtId="0" fontId="20" fillId="0" borderId="0" xfId="0" applyFont="1"/>
    <xf numFmtId="0" fontId="21" fillId="0" borderId="17" xfId="107" applyFont="1" applyFill="1" applyBorder="1"/>
    <xf numFmtId="3" fontId="21" fillId="0" borderId="16" xfId="107" applyNumberFormat="1" applyFont="1" applyFill="1" applyBorder="1"/>
    <xf numFmtId="3" fontId="21" fillId="29" borderId="16" xfId="107" applyNumberFormat="1" applyFont="1" applyFill="1" applyBorder="1"/>
    <xf numFmtId="4" fontId="21" fillId="0" borderId="16" xfId="107" applyNumberFormat="1" applyFont="1" applyFill="1" applyBorder="1"/>
    <xf numFmtId="4" fontId="20" fillId="0" borderId="16" xfId="107" applyNumberFormat="1" applyFont="1" applyFill="1" applyBorder="1"/>
    <xf numFmtId="0" fontId="20" fillId="0" borderId="17" xfId="108" applyFont="1" applyFill="1" applyBorder="1"/>
    <xf numFmtId="3" fontId="20" fillId="0" borderId="16" xfId="107" applyNumberFormat="1" applyFont="1" applyFill="1" applyBorder="1"/>
    <xf numFmtId="165" fontId="20" fillId="29" borderId="16" xfId="107" applyNumberFormat="1" applyFont="1" applyFill="1" applyBorder="1"/>
    <xf numFmtId="0" fontId="20" fillId="0" borderId="17" xfId="0" applyFont="1" applyBorder="1"/>
    <xf numFmtId="2" fontId="20" fillId="0" borderId="16" xfId="107" applyNumberFormat="1" applyFont="1" applyFill="1" applyBorder="1"/>
    <xf numFmtId="0" fontId="20" fillId="0" borderId="16" xfId="107" applyFont="1" applyBorder="1"/>
    <xf numFmtId="0" fontId="20" fillId="0" borderId="17" xfId="107" applyFont="1" applyFill="1" applyBorder="1" applyAlignment="1">
      <alignment wrapText="1"/>
    </xf>
    <xf numFmtId="0" fontId="23" fillId="0" borderId="16" xfId="107" applyFont="1" applyFill="1" applyBorder="1"/>
    <xf numFmtId="3" fontId="23" fillId="0" borderId="16" xfId="107" applyNumberFormat="1" applyFont="1" applyFill="1" applyBorder="1"/>
    <xf numFmtId="3" fontId="23" fillId="29" borderId="16" xfId="107" applyNumberFormat="1" applyFont="1" applyFill="1" applyBorder="1"/>
    <xf numFmtId="2" fontId="21" fillId="0" borderId="16" xfId="107" applyNumberFormat="1" applyFont="1" applyFill="1" applyBorder="1"/>
    <xf numFmtId="1" fontId="20" fillId="0" borderId="16" xfId="107" applyNumberFormat="1" applyFont="1" applyFill="1" applyBorder="1"/>
    <xf numFmtId="165" fontId="20" fillId="0" borderId="16" xfId="107" applyNumberFormat="1" applyFont="1" applyFill="1" applyBorder="1"/>
    <xf numFmtId="2" fontId="20" fillId="0" borderId="16" xfId="107" applyNumberFormat="1" applyFont="1" applyBorder="1"/>
    <xf numFmtId="0" fontId="20" fillId="0" borderId="16" xfId="107" applyFont="1" applyFill="1" applyBorder="1" applyAlignment="1">
      <alignment wrapText="1"/>
    </xf>
    <xf numFmtId="0" fontId="23" fillId="0" borderId="16" xfId="107" applyFont="1" applyFill="1" applyBorder="1" applyAlignment="1">
      <alignment wrapText="1"/>
    </xf>
    <xf numFmtId="1" fontId="21" fillId="0" borderId="16" xfId="107" applyNumberFormat="1" applyFont="1" applyFill="1" applyBorder="1"/>
    <xf numFmtId="4" fontId="20" fillId="29" borderId="16" xfId="107" applyNumberFormat="1" applyFont="1" applyFill="1" applyBorder="1"/>
    <xf numFmtId="2" fontId="20" fillId="0" borderId="19" xfId="107" applyNumberFormat="1" applyFont="1" applyFill="1" applyBorder="1"/>
    <xf numFmtId="0" fontId="20" fillId="0" borderId="19" xfId="107" applyFont="1" applyFill="1" applyBorder="1"/>
    <xf numFmtId="3" fontId="20" fillId="0" borderId="19" xfId="107" applyNumberFormat="1" applyFont="1" applyFill="1" applyBorder="1"/>
    <xf numFmtId="3" fontId="21" fillId="0" borderId="21" xfId="113" applyNumberFormat="1" applyFont="1" applyBorder="1"/>
    <xf numFmtId="3" fontId="21" fillId="0" borderId="23" xfId="113" applyNumberFormat="1" applyFont="1" applyBorder="1"/>
    <xf numFmtId="3" fontId="20" fillId="29" borderId="16" xfId="113" applyNumberFormat="1" applyFont="1" applyFill="1" applyBorder="1" applyAlignment="1">
      <alignment horizontal="right" wrapText="1"/>
    </xf>
    <xf numFmtId="4" fontId="20" fillId="29" borderId="16" xfId="113" applyNumberFormat="1" applyFont="1" applyFill="1" applyBorder="1" applyAlignment="1">
      <alignment horizontal="right" wrapText="1"/>
    </xf>
    <xf numFmtId="3" fontId="20" fillId="29" borderId="22" xfId="113" applyNumberFormat="1" applyFont="1" applyFill="1" applyBorder="1" applyAlignment="1">
      <alignment horizontal="right" wrapText="1"/>
    </xf>
    <xf numFmtId="0" fontId="21" fillId="29" borderId="16" xfId="113" applyFont="1" applyFill="1" applyBorder="1" applyAlignment="1">
      <alignment vertical="center"/>
    </xf>
    <xf numFmtId="3" fontId="21" fillId="29" borderId="23" xfId="113" applyNumberFormat="1" applyFont="1" applyFill="1" applyBorder="1" applyAlignment="1">
      <alignment horizontal="right" wrapText="1"/>
    </xf>
    <xf numFmtId="4" fontId="28" fillId="0" borderId="0" xfId="113" applyNumberFormat="1" applyFont="1" applyBorder="1"/>
    <xf numFmtId="0" fontId="20" fillId="0" borderId="13" xfId="106" applyFont="1" applyBorder="1" applyAlignment="1">
      <alignment wrapText="1"/>
    </xf>
    <xf numFmtId="0" fontId="21" fillId="0" borderId="13" xfId="106" applyFont="1" applyBorder="1" applyAlignment="1">
      <alignment wrapText="1"/>
    </xf>
    <xf numFmtId="0" fontId="21" fillId="0" borderId="15" xfId="106" applyFont="1" applyBorder="1" applyAlignment="1">
      <alignment wrapText="1"/>
    </xf>
    <xf numFmtId="3" fontId="26" fillId="0" borderId="16" xfId="113" applyNumberFormat="1" applyFont="1" applyBorder="1"/>
    <xf numFmtId="3" fontId="25" fillId="0" borderId="16" xfId="113" applyNumberFormat="1" applyFont="1" applyBorder="1"/>
    <xf numFmtId="3" fontId="25" fillId="0" borderId="16" xfId="113" applyNumberFormat="1" applyFont="1" applyBorder="1" applyAlignment="1">
      <alignment horizontal="right" wrapText="1"/>
    </xf>
    <xf numFmtId="3" fontId="25" fillId="29" borderId="16" xfId="113" applyNumberFormat="1" applyFont="1" applyFill="1" applyBorder="1" applyAlignment="1">
      <alignment horizontal="right" wrapText="1"/>
    </xf>
    <xf numFmtId="3" fontId="25" fillId="29" borderId="16" xfId="113" applyNumberFormat="1" applyFont="1" applyFill="1" applyBorder="1" applyAlignment="1">
      <alignment horizontal="right" vertical="center" wrapText="1"/>
    </xf>
    <xf numFmtId="4" fontId="28" fillId="29" borderId="19" xfId="113" applyNumberFormat="1" applyFont="1" applyFill="1" applyBorder="1" applyAlignment="1">
      <alignment horizontal="right" wrapText="1"/>
    </xf>
    <xf numFmtId="4" fontId="28" fillId="29" borderId="24" xfId="113" applyNumberFormat="1" applyFont="1" applyFill="1" applyBorder="1" applyAlignment="1">
      <alignment horizontal="right" wrapText="1"/>
    </xf>
    <xf numFmtId="3" fontId="21" fillId="29" borderId="17" xfId="113" applyNumberFormat="1" applyFont="1" applyFill="1" applyBorder="1" applyAlignment="1">
      <alignment horizontal="right" wrapText="1"/>
    </xf>
    <xf numFmtId="3" fontId="20" fillId="29" borderId="17" xfId="113" applyNumberFormat="1" applyFont="1" applyFill="1" applyBorder="1" applyAlignment="1">
      <alignment horizontal="right" wrapText="1"/>
    </xf>
    <xf numFmtId="4" fontId="20" fillId="29" borderId="17" xfId="113" applyNumberFormat="1" applyFont="1" applyFill="1" applyBorder="1" applyAlignment="1">
      <alignment horizontal="right" wrapText="1"/>
    </xf>
    <xf numFmtId="3" fontId="20" fillId="29" borderId="24" xfId="113" applyNumberFormat="1" applyFont="1" applyFill="1" applyBorder="1" applyAlignment="1">
      <alignment horizontal="right" wrapText="1"/>
    </xf>
    <xf numFmtId="3" fontId="21" fillId="29" borderId="25" xfId="113" applyNumberFormat="1" applyFont="1" applyFill="1" applyBorder="1" applyAlignment="1">
      <alignment horizontal="right" wrapText="1"/>
    </xf>
    <xf numFmtId="3" fontId="21" fillId="29" borderId="26" xfId="113" applyNumberFormat="1" applyFont="1" applyFill="1" applyBorder="1" applyAlignment="1">
      <alignment horizontal="right" wrapText="1"/>
    </xf>
    <xf numFmtId="0" fontId="22" fillId="0" borderId="0" xfId="0" applyFont="1"/>
    <xf numFmtId="3" fontId="20" fillId="0" borderId="23" xfId="113" applyNumberFormat="1" applyFont="1" applyBorder="1" applyAlignment="1">
      <alignment horizontal="right"/>
    </xf>
    <xf numFmtId="2" fontId="28" fillId="0" borderId="0" xfId="113" applyNumberFormat="1" applyFont="1" applyBorder="1"/>
    <xf numFmtId="3" fontId="33" fillId="29" borderId="16" xfId="113" applyNumberFormat="1" applyFont="1" applyFill="1" applyBorder="1" applyAlignment="1">
      <alignment horizontal="right" wrapText="1"/>
    </xf>
    <xf numFmtId="3" fontId="21" fillId="29" borderId="30" xfId="113" applyNumberFormat="1" applyFont="1" applyFill="1" applyBorder="1" applyAlignment="1">
      <alignment horizontal="right" wrapText="1"/>
    </xf>
    <xf numFmtId="4" fontId="20" fillId="29" borderId="30" xfId="113" applyNumberFormat="1" applyFont="1" applyFill="1" applyBorder="1" applyAlignment="1">
      <alignment horizontal="right" wrapText="1"/>
    </xf>
    <xf numFmtId="3" fontId="20" fillId="0" borderId="27" xfId="113" applyNumberFormat="1" applyFont="1" applyBorder="1"/>
    <xf numFmtId="3" fontId="20" fillId="0" borderId="27" xfId="113" applyNumberFormat="1" applyFont="1" applyFill="1" applyBorder="1"/>
    <xf numFmtId="3" fontId="21" fillId="29" borderId="31" xfId="113" applyNumberFormat="1" applyFont="1" applyFill="1" applyBorder="1" applyAlignment="1">
      <alignment horizontal="right" wrapText="1"/>
    </xf>
    <xf numFmtId="0" fontId="20" fillId="29" borderId="30" xfId="113" applyFont="1" applyFill="1" applyBorder="1"/>
    <xf numFmtId="3" fontId="20" fillId="29" borderId="30" xfId="113" applyNumberFormat="1" applyFont="1" applyFill="1" applyBorder="1" applyAlignment="1">
      <alignment horizontal="right" wrapText="1"/>
    </xf>
    <xf numFmtId="0" fontId="20" fillId="29" borderId="30" xfId="113" applyFont="1" applyFill="1" applyBorder="1" applyAlignment="1">
      <alignment vertical="center"/>
    </xf>
    <xf numFmtId="0" fontId="21" fillId="29" borderId="30" xfId="113" applyFont="1" applyFill="1" applyBorder="1" applyAlignment="1">
      <alignment vertical="center"/>
    </xf>
    <xf numFmtId="0" fontId="21" fillId="0" borderId="30" xfId="113" applyFont="1" applyBorder="1"/>
    <xf numFmtId="0" fontId="21" fillId="29" borderId="17" xfId="113" applyFont="1" applyFill="1" applyBorder="1"/>
    <xf numFmtId="0" fontId="21" fillId="29" borderId="17" xfId="113" applyFont="1" applyFill="1" applyBorder="1" applyAlignment="1">
      <alignment vertical="center"/>
    </xf>
    <xf numFmtId="4" fontId="20" fillId="29" borderId="24" xfId="113" applyNumberFormat="1" applyFont="1" applyFill="1" applyBorder="1" applyAlignment="1">
      <alignment horizontal="right" wrapText="1"/>
    </xf>
    <xf numFmtId="0" fontId="20" fillId="0" borderId="32" xfId="113" applyFont="1" applyBorder="1" applyAlignment="1">
      <alignment wrapText="1"/>
    </xf>
    <xf numFmtId="0" fontId="21" fillId="0" borderId="32" xfId="113" applyFont="1" applyBorder="1" applyAlignment="1">
      <alignment wrapText="1"/>
    </xf>
    <xf numFmtId="3" fontId="21" fillId="0" borderId="33" xfId="113" applyNumberFormat="1" applyFont="1" applyBorder="1"/>
    <xf numFmtId="3" fontId="21" fillId="0" borderId="34" xfId="113" applyNumberFormat="1" applyFont="1" applyBorder="1"/>
    <xf numFmtId="3" fontId="21" fillId="0" borderId="36" xfId="113" applyNumberFormat="1" applyFont="1" applyBorder="1"/>
    <xf numFmtId="0" fontId="22" fillId="29" borderId="38" xfId="113" applyFont="1" applyFill="1" applyBorder="1" applyAlignment="1">
      <alignment horizontal="center" vertical="center" wrapText="1"/>
    </xf>
    <xf numFmtId="4" fontId="28" fillId="29" borderId="17" xfId="113" applyNumberFormat="1" applyFont="1" applyFill="1" applyBorder="1" applyAlignment="1">
      <alignment horizontal="right" wrapText="1"/>
    </xf>
    <xf numFmtId="0" fontId="21" fillId="0" borderId="39" xfId="106" applyFont="1" applyBorder="1" applyAlignment="1">
      <alignment wrapText="1"/>
    </xf>
    <xf numFmtId="0" fontId="20" fillId="0" borderId="20" xfId="106" applyFont="1" applyBorder="1" applyAlignment="1">
      <alignment wrapText="1"/>
    </xf>
    <xf numFmtId="0" fontId="20" fillId="0" borderId="39" xfId="106" applyFont="1" applyBorder="1" applyAlignment="1">
      <alignment wrapText="1"/>
    </xf>
    <xf numFmtId="0" fontId="25" fillId="0" borderId="41" xfId="113" applyFont="1" applyFill="1" applyBorder="1" applyAlignment="1">
      <alignment horizontal="center" vertical="center" wrapText="1"/>
    </xf>
    <xf numFmtId="0" fontId="20" fillId="29" borderId="20" xfId="113" applyFont="1" applyFill="1" applyBorder="1" applyAlignment="1">
      <alignment wrapText="1"/>
    </xf>
    <xf numFmtId="0" fontId="20" fillId="29" borderId="13" xfId="113" applyFont="1" applyFill="1" applyBorder="1" applyAlignment="1">
      <alignment wrapText="1"/>
    </xf>
    <xf numFmtId="0" fontId="20" fillId="29" borderId="13" xfId="112" applyFont="1" applyFill="1" applyBorder="1" applyAlignment="1">
      <alignment wrapText="1"/>
    </xf>
    <xf numFmtId="0" fontId="21" fillId="0" borderId="14" xfId="106" applyFont="1" applyBorder="1" applyAlignment="1">
      <alignment wrapText="1"/>
    </xf>
    <xf numFmtId="0" fontId="0" fillId="0" borderId="0" xfId="0" applyFill="1"/>
    <xf numFmtId="0" fontId="20" fillId="0" borderId="0" xfId="0" applyFont="1" applyFill="1"/>
    <xf numFmtId="3" fontId="22" fillId="29" borderId="26" xfId="113" applyNumberFormat="1" applyFont="1" applyFill="1" applyBorder="1" applyAlignment="1">
      <alignment horizontal="right" wrapText="1"/>
    </xf>
    <xf numFmtId="0" fontId="20" fillId="0" borderId="32" xfId="113" applyFont="1" applyFill="1" applyBorder="1" applyAlignment="1">
      <alignment wrapText="1"/>
    </xf>
    <xf numFmtId="3" fontId="20" fillId="0" borderId="32" xfId="113" applyNumberFormat="1" applyFont="1" applyFill="1" applyBorder="1" applyAlignment="1">
      <alignment wrapText="1"/>
    </xf>
    <xf numFmtId="3" fontId="25" fillId="0" borderId="22" xfId="113" applyNumberFormat="1" applyFont="1" applyFill="1" applyBorder="1" applyAlignment="1">
      <alignment horizontal="right" wrapText="1"/>
    </xf>
    <xf numFmtId="3" fontId="21" fillId="0" borderId="22" xfId="113" applyNumberFormat="1" applyFont="1" applyBorder="1"/>
    <xf numFmtId="3" fontId="28" fillId="0" borderId="0" xfId="106" applyNumberFormat="1" applyFont="1" applyAlignment="1">
      <alignment horizontal="right"/>
    </xf>
    <xf numFmtId="3" fontId="20" fillId="0" borderId="22" xfId="106" applyNumberFormat="1" applyFont="1" applyBorder="1" applyAlignment="1">
      <alignment horizontal="right"/>
    </xf>
    <xf numFmtId="3" fontId="21" fillId="0" borderId="16" xfId="78" applyNumberFormat="1" applyFont="1" applyBorder="1" applyAlignment="1">
      <alignment horizontal="right"/>
    </xf>
    <xf numFmtId="3" fontId="21" fillId="0" borderId="19" xfId="78" applyNumberFormat="1" applyFont="1" applyBorder="1" applyAlignment="1">
      <alignment horizontal="right"/>
    </xf>
    <xf numFmtId="3" fontId="20" fillId="0" borderId="16" xfId="78" applyNumberFormat="1" applyFont="1" applyBorder="1" applyAlignment="1">
      <alignment horizontal="right"/>
    </xf>
    <xf numFmtId="3" fontId="21" fillId="0" borderId="16" xfId="106" applyNumberFormat="1" applyFont="1" applyBorder="1" applyAlignment="1">
      <alignment horizontal="right"/>
    </xf>
    <xf numFmtId="3" fontId="20" fillId="0" borderId="16" xfId="106" applyNumberFormat="1" applyFont="1" applyBorder="1" applyAlignment="1">
      <alignment horizontal="right"/>
    </xf>
    <xf numFmtId="3" fontId="21" fillId="0" borderId="19" xfId="106" applyNumberFormat="1" applyFont="1" applyBorder="1" applyAlignment="1">
      <alignment horizontal="right"/>
    </xf>
    <xf numFmtId="3" fontId="20" fillId="0" borderId="25" xfId="78" applyNumberFormat="1" applyFont="1" applyBorder="1" applyAlignment="1">
      <alignment horizontal="right"/>
    </xf>
    <xf numFmtId="3" fontId="20" fillId="0" borderId="17" xfId="78" applyNumberFormat="1" applyFont="1" applyBorder="1" applyAlignment="1">
      <alignment horizontal="right"/>
    </xf>
    <xf numFmtId="3" fontId="21" fillId="0" borderId="17" xfId="78" applyNumberFormat="1" applyFont="1" applyBorder="1" applyAlignment="1">
      <alignment horizontal="right"/>
    </xf>
    <xf numFmtId="3" fontId="21" fillId="0" borderId="24" xfId="78" applyNumberFormat="1" applyFont="1" applyBorder="1" applyAlignment="1">
      <alignment horizontal="right"/>
    </xf>
    <xf numFmtId="3" fontId="20" fillId="0" borderId="17" xfId="106" applyNumberFormat="1" applyFont="1" applyBorder="1" applyAlignment="1">
      <alignment horizontal="right"/>
    </xf>
    <xf numFmtId="3" fontId="21" fillId="0" borderId="17" xfId="106" applyNumberFormat="1" applyFont="1" applyBorder="1" applyAlignment="1">
      <alignment horizontal="right"/>
    </xf>
    <xf numFmtId="3" fontId="21" fillId="0" borderId="24" xfId="106" applyNumberFormat="1" applyFont="1" applyBorder="1" applyAlignment="1">
      <alignment horizontal="right"/>
    </xf>
    <xf numFmtId="3" fontId="26" fillId="0" borderId="16" xfId="104" applyNumberFormat="1" applyFont="1" applyFill="1" applyBorder="1" applyAlignment="1">
      <alignment horizontal="right"/>
    </xf>
    <xf numFmtId="3" fontId="25" fillId="0" borderId="19" xfId="104" applyNumberFormat="1" applyFont="1" applyBorder="1" applyAlignment="1">
      <alignment horizontal="right"/>
    </xf>
    <xf numFmtId="3" fontId="26" fillId="0" borderId="0" xfId="104" applyNumberFormat="1" applyFont="1" applyAlignment="1">
      <alignment horizontal="right"/>
    </xf>
    <xf numFmtId="3" fontId="26" fillId="0" borderId="45" xfId="106" applyNumberFormat="1" applyFont="1" applyFill="1" applyBorder="1" applyAlignment="1">
      <alignment horizontal="right"/>
    </xf>
    <xf numFmtId="3" fontId="25" fillId="0" borderId="19" xfId="110" applyNumberFormat="1" applyFont="1" applyFill="1" applyBorder="1" applyAlignment="1">
      <alignment horizontal="right"/>
    </xf>
    <xf numFmtId="3" fontId="22" fillId="29" borderId="25" xfId="113" applyNumberFormat="1" applyFont="1" applyFill="1" applyBorder="1" applyAlignment="1">
      <alignment horizontal="right" wrapText="1"/>
    </xf>
    <xf numFmtId="4" fontId="28" fillId="29" borderId="16" xfId="113" applyNumberFormat="1" applyFont="1" applyFill="1" applyBorder="1" applyAlignment="1">
      <alignment horizontal="right" wrapText="1"/>
    </xf>
    <xf numFmtId="3" fontId="20" fillId="0" borderId="50" xfId="113" applyNumberFormat="1" applyFont="1" applyBorder="1"/>
    <xf numFmtId="3" fontId="21" fillId="0" borderId="50" xfId="113" applyNumberFormat="1" applyFont="1" applyBorder="1"/>
    <xf numFmtId="0" fontId="26" fillId="0" borderId="50" xfId="113" applyFont="1" applyFill="1" applyBorder="1" applyAlignment="1">
      <alignment horizontal="left" vertical="center" wrapText="1"/>
    </xf>
    <xf numFmtId="0" fontId="26" fillId="0" borderId="50" xfId="103" applyFont="1" applyFill="1" applyBorder="1" applyAlignment="1">
      <alignment wrapText="1"/>
    </xf>
    <xf numFmtId="0" fontId="26" fillId="0" borderId="50" xfId="106" applyFont="1" applyBorder="1" applyAlignment="1">
      <alignment horizontal="left" wrapText="1"/>
    </xf>
    <xf numFmtId="0" fontId="26" fillId="0" borderId="50" xfId="106" applyFont="1" applyFill="1" applyBorder="1" applyAlignment="1">
      <alignment horizontal="left" wrapText="1"/>
    </xf>
    <xf numFmtId="0" fontId="26" fillId="0" borderId="14" xfId="106" applyFont="1" applyFill="1" applyBorder="1" applyAlignment="1">
      <alignment horizontal="left" wrapText="1"/>
    </xf>
    <xf numFmtId="3" fontId="25" fillId="0" borderId="51" xfId="104" applyNumberFormat="1" applyFont="1" applyBorder="1" applyAlignment="1">
      <alignment wrapText="1"/>
    </xf>
    <xf numFmtId="0" fontId="26" fillId="0" borderId="13" xfId="106" applyFont="1" applyBorder="1" applyAlignment="1">
      <alignment horizontal="left" wrapText="1"/>
    </xf>
    <xf numFmtId="0" fontId="26" fillId="0" borderId="14" xfId="106" applyFont="1" applyBorder="1" applyAlignment="1">
      <alignment horizontal="left" wrapText="1"/>
    </xf>
    <xf numFmtId="3" fontId="26" fillId="0" borderId="13" xfId="104" applyNumberFormat="1" applyFont="1" applyFill="1" applyBorder="1" applyAlignment="1">
      <alignment wrapText="1"/>
    </xf>
    <xf numFmtId="3" fontId="25" fillId="0" borderId="13" xfId="104" applyNumberFormat="1" applyFont="1" applyBorder="1" applyAlignment="1">
      <alignment wrapText="1"/>
    </xf>
    <xf numFmtId="3" fontId="25" fillId="0" borderId="16" xfId="104" applyNumberFormat="1" applyFont="1" applyBorder="1" applyAlignment="1">
      <alignment horizontal="right"/>
    </xf>
    <xf numFmtId="3" fontId="26" fillId="0" borderId="39" xfId="104" applyNumberFormat="1" applyFont="1" applyFill="1" applyBorder="1" applyAlignment="1">
      <alignment wrapText="1"/>
    </xf>
    <xf numFmtId="3" fontId="20" fillId="0" borderId="26" xfId="78" applyNumberFormat="1" applyFont="1" applyBorder="1" applyAlignment="1">
      <alignment horizontal="right"/>
    </xf>
    <xf numFmtId="3" fontId="20" fillId="0" borderId="44" xfId="106" applyNumberFormat="1" applyFont="1" applyBorder="1" applyAlignment="1">
      <alignment horizontal="right"/>
    </xf>
    <xf numFmtId="3" fontId="20" fillId="0" borderId="16" xfId="78" applyNumberFormat="1" applyFont="1" applyBorder="1" applyAlignment="1">
      <alignment horizontal="right" wrapText="1"/>
    </xf>
    <xf numFmtId="3" fontId="20" fillId="0" borderId="50" xfId="113" applyNumberFormat="1" applyFont="1" applyBorder="1" applyAlignment="1">
      <alignment horizontal="right"/>
    </xf>
    <xf numFmtId="3" fontId="20" fillId="29" borderId="23" xfId="113" applyNumberFormat="1" applyFont="1" applyFill="1" applyBorder="1" applyAlignment="1">
      <alignment horizontal="right" wrapText="1"/>
    </xf>
    <xf numFmtId="4" fontId="20" fillId="29" borderId="23" xfId="113" applyNumberFormat="1" applyFont="1" applyFill="1" applyBorder="1" applyAlignment="1">
      <alignment horizontal="right" wrapText="1"/>
    </xf>
    <xf numFmtId="0" fontId="26" fillId="0" borderId="0" xfId="113" applyFont="1"/>
    <xf numFmtId="0" fontId="26" fillId="0" borderId="0" xfId="110" applyFont="1" applyFill="1" applyAlignment="1">
      <alignment wrapText="1"/>
    </xf>
    <xf numFmtId="0" fontId="26" fillId="0" borderId="50" xfId="110" applyFont="1" applyFill="1" applyBorder="1" applyAlignment="1">
      <alignment wrapText="1"/>
    </xf>
    <xf numFmtId="0" fontId="26" fillId="0" borderId="45" xfId="110" applyFont="1" applyFill="1" applyBorder="1" applyAlignment="1">
      <alignment wrapText="1"/>
    </xf>
    <xf numFmtId="0" fontId="26" fillId="0" borderId="13" xfId="110" applyFont="1" applyBorder="1" applyAlignment="1">
      <alignment wrapText="1"/>
    </xf>
    <xf numFmtId="3" fontId="26" fillId="0" borderId="0" xfId="110" applyNumberFormat="1" applyFont="1" applyFill="1" applyAlignment="1">
      <alignment horizontal="right"/>
    </xf>
    <xf numFmtId="3" fontId="35" fillId="0" borderId="0" xfId="110" applyNumberFormat="1" applyFont="1" applyFill="1" applyAlignment="1">
      <alignment horizontal="right"/>
    </xf>
    <xf numFmtId="3" fontId="20" fillId="0" borderId="50" xfId="78" applyNumberFormat="1" applyFont="1" applyBorder="1" applyAlignment="1">
      <alignment horizontal="right"/>
    </xf>
    <xf numFmtId="3" fontId="20" fillId="0" borderId="55" xfId="106" applyNumberFormat="1" applyFont="1" applyBorder="1" applyAlignment="1">
      <alignment horizontal="right"/>
    </xf>
    <xf numFmtId="3" fontId="20" fillId="0" borderId="50" xfId="106" applyNumberFormat="1" applyFont="1" applyBorder="1" applyAlignment="1">
      <alignment horizontal="right"/>
    </xf>
    <xf numFmtId="3" fontId="21" fillId="0" borderId="50" xfId="106" applyNumberFormat="1" applyFont="1" applyBorder="1" applyAlignment="1">
      <alignment horizontal="right"/>
    </xf>
    <xf numFmtId="3" fontId="21" fillId="0" borderId="50" xfId="78" applyNumberFormat="1" applyFont="1" applyBorder="1" applyAlignment="1">
      <alignment horizontal="right"/>
    </xf>
    <xf numFmtId="3" fontId="20" fillId="0" borderId="26" xfId="106" applyNumberFormat="1" applyFont="1" applyBorder="1" applyAlignment="1">
      <alignment horizontal="right"/>
    </xf>
    <xf numFmtId="3" fontId="21" fillId="0" borderId="51" xfId="78" applyNumberFormat="1" applyFont="1" applyBorder="1" applyAlignment="1">
      <alignment horizontal="right"/>
    </xf>
    <xf numFmtId="3" fontId="25" fillId="0" borderId="0" xfId="113" applyNumberFormat="1" applyFont="1" applyFill="1" applyBorder="1" applyAlignment="1">
      <alignment horizontal="right"/>
    </xf>
    <xf numFmtId="3" fontId="28" fillId="29" borderId="23" xfId="113" applyNumberFormat="1" applyFont="1" applyFill="1" applyBorder="1" applyAlignment="1">
      <alignment horizontal="right" wrapText="1"/>
    </xf>
    <xf numFmtId="3" fontId="22" fillId="29" borderId="23" xfId="113" applyNumberFormat="1" applyFont="1" applyFill="1" applyBorder="1" applyAlignment="1">
      <alignment horizontal="right" wrapText="1"/>
    </xf>
    <xf numFmtId="4" fontId="20" fillId="29" borderId="21" xfId="113" applyNumberFormat="1" applyFont="1" applyFill="1" applyBorder="1" applyAlignment="1">
      <alignment horizontal="right" wrapText="1"/>
    </xf>
    <xf numFmtId="4" fontId="20" fillId="29" borderId="59" xfId="113" applyNumberFormat="1" applyFont="1" applyFill="1" applyBorder="1" applyAlignment="1">
      <alignment horizontal="right" wrapText="1"/>
    </xf>
    <xf numFmtId="3" fontId="20" fillId="0" borderId="23" xfId="113" applyNumberFormat="1" applyFont="1" applyBorder="1"/>
    <xf numFmtId="3" fontId="20" fillId="0" borderId="23" xfId="113" applyNumberFormat="1" applyFont="1" applyFill="1" applyBorder="1" applyAlignment="1">
      <alignment horizontal="right"/>
    </xf>
    <xf numFmtId="3" fontId="20" fillId="0" borderId="23" xfId="113" applyNumberFormat="1" applyFont="1" applyFill="1" applyBorder="1"/>
    <xf numFmtId="3" fontId="20" fillId="0" borderId="23" xfId="106" applyNumberFormat="1" applyFont="1" applyBorder="1" applyAlignment="1">
      <alignment horizontal="right"/>
    </xf>
    <xf numFmtId="3" fontId="20" fillId="0" borderId="52" xfId="113" applyNumberFormat="1" applyFont="1" applyBorder="1" applyAlignment="1">
      <alignment horizontal="right"/>
    </xf>
    <xf numFmtId="3" fontId="26" fillId="0" borderId="23" xfId="104" applyNumberFormat="1" applyFont="1" applyFill="1" applyBorder="1" applyAlignment="1">
      <alignment horizontal="right"/>
    </xf>
    <xf numFmtId="3" fontId="20" fillId="0" borderId="61" xfId="106" applyNumberFormat="1" applyFont="1" applyBorder="1" applyAlignment="1">
      <alignment horizontal="right"/>
    </xf>
    <xf numFmtId="3" fontId="21" fillId="0" borderId="23" xfId="78" applyNumberFormat="1" applyFont="1" applyBorder="1" applyAlignment="1">
      <alignment horizontal="right"/>
    </xf>
    <xf numFmtId="3" fontId="20" fillId="0" borderId="23" xfId="78" applyNumberFormat="1" applyFont="1" applyBorder="1" applyAlignment="1">
      <alignment horizontal="right"/>
    </xf>
    <xf numFmtId="3" fontId="20" fillId="0" borderId="23" xfId="106" applyNumberFormat="1" applyFont="1" applyBorder="1" applyAlignment="1">
      <alignment horizontal="right" wrapText="1"/>
    </xf>
    <xf numFmtId="0" fontId="20" fillId="0" borderId="63" xfId="106" applyFont="1" applyBorder="1" applyAlignment="1">
      <alignment wrapText="1"/>
    </xf>
    <xf numFmtId="0" fontId="20" fillId="0" borderId="0" xfId="107" applyFont="1" applyBorder="1"/>
    <xf numFmtId="0" fontId="20" fillId="0" borderId="0" xfId="107" applyNumberFormat="1" applyFont="1" applyBorder="1"/>
    <xf numFmtId="2" fontId="20" fillId="0" borderId="0" xfId="107" applyNumberFormat="1" applyFont="1" applyBorder="1"/>
    <xf numFmtId="0" fontId="20" fillId="0" borderId="0" xfId="107" applyFont="1" applyFill="1" applyBorder="1"/>
    <xf numFmtId="0" fontId="21" fillId="0" borderId="62" xfId="107" applyFont="1" applyFill="1" applyBorder="1"/>
    <xf numFmtId="2" fontId="21" fillId="0" borderId="62" xfId="107" applyNumberFormat="1" applyFont="1" applyFill="1" applyBorder="1"/>
    <xf numFmtId="3" fontId="21" fillId="0" borderId="62" xfId="107" applyNumberFormat="1" applyFont="1" applyFill="1" applyBorder="1"/>
    <xf numFmtId="3" fontId="20" fillId="0" borderId="37" xfId="113" applyNumberFormat="1" applyFont="1" applyBorder="1" applyAlignment="1">
      <alignment horizontal="right"/>
    </xf>
    <xf numFmtId="3" fontId="20" fillId="0" borderId="61" xfId="113" applyNumberFormat="1" applyFont="1" applyBorder="1" applyAlignment="1">
      <alignment horizontal="right"/>
    </xf>
    <xf numFmtId="3" fontId="20" fillId="0" borderId="55" xfId="113" applyNumberFormat="1" applyFont="1" applyBorder="1" applyAlignment="1">
      <alignment horizontal="right"/>
    </xf>
    <xf numFmtId="3" fontId="20" fillId="0" borderId="55" xfId="113" applyNumberFormat="1" applyFont="1" applyBorder="1"/>
    <xf numFmtId="3" fontId="21" fillId="0" borderId="41" xfId="113" applyNumberFormat="1" applyFont="1" applyBorder="1"/>
    <xf numFmtId="3" fontId="21" fillId="0" borderId="64" xfId="113" applyNumberFormat="1" applyFont="1" applyBorder="1"/>
    <xf numFmtId="0" fontId="25" fillId="0" borderId="55" xfId="106" applyFont="1" applyFill="1" applyBorder="1" applyAlignment="1">
      <alignment horizontal="left" vertical="center" wrapText="1"/>
    </xf>
    <xf numFmtId="0" fontId="26" fillId="0" borderId="13" xfId="106" applyFont="1" applyFill="1" applyBorder="1" applyAlignment="1">
      <alignment horizontal="left" vertical="center" wrapText="1"/>
    </xf>
    <xf numFmtId="0" fontId="26" fillId="0" borderId="13" xfId="106" applyFont="1" applyBorder="1" applyAlignment="1">
      <alignment wrapText="1"/>
    </xf>
    <xf numFmtId="3" fontId="25" fillId="0" borderId="55" xfId="104" applyNumberFormat="1" applyFont="1" applyBorder="1" applyAlignment="1">
      <alignment wrapText="1"/>
    </xf>
    <xf numFmtId="0" fontId="21" fillId="0" borderId="16" xfId="107" applyFont="1" applyBorder="1"/>
    <xf numFmtId="165" fontId="21" fillId="29" borderId="16" xfId="107" applyNumberFormat="1" applyFont="1" applyFill="1" applyBorder="1"/>
    <xf numFmtId="3" fontId="20" fillId="0" borderId="22" xfId="0" applyNumberFormat="1" applyFont="1" applyBorder="1"/>
    <xf numFmtId="0" fontId="21" fillId="0" borderId="17" xfId="108" applyFont="1" applyFill="1" applyBorder="1"/>
    <xf numFmtId="0" fontId="21" fillId="0" borderId="17" xfId="0" applyFont="1" applyBorder="1"/>
    <xf numFmtId="0" fontId="23" fillId="0" borderId="17" xfId="107" applyFont="1" applyFill="1" applyBorder="1"/>
    <xf numFmtId="3" fontId="21" fillId="0" borderId="17" xfId="107" applyNumberFormat="1" applyFont="1" applyFill="1" applyBorder="1"/>
    <xf numFmtId="3" fontId="20" fillId="0" borderId="17" xfId="107" applyNumberFormat="1" applyFont="1" applyFill="1" applyBorder="1"/>
    <xf numFmtId="0" fontId="21" fillId="0" borderId="24" xfId="107" applyFont="1" applyFill="1" applyBorder="1"/>
    <xf numFmtId="0" fontId="20" fillId="0" borderId="19" xfId="107" applyFont="1" applyBorder="1"/>
    <xf numFmtId="3" fontId="21" fillId="29" borderId="44" xfId="113" applyNumberFormat="1" applyFont="1" applyFill="1" applyBorder="1" applyAlignment="1">
      <alignment horizontal="right" wrapText="1"/>
    </xf>
    <xf numFmtId="0" fontId="21" fillId="29" borderId="67" xfId="113" applyFont="1" applyFill="1" applyBorder="1" applyAlignment="1">
      <alignment vertical="center"/>
    </xf>
    <xf numFmtId="0" fontId="21" fillId="0" borderId="41" xfId="106" applyFont="1" applyBorder="1" applyAlignment="1">
      <alignment horizontal="center" vertical="center" wrapText="1"/>
    </xf>
    <xf numFmtId="4" fontId="20" fillId="29" borderId="50" xfId="113" applyNumberFormat="1" applyFont="1" applyFill="1" applyBorder="1" applyAlignment="1">
      <alignment horizontal="right" wrapText="1"/>
    </xf>
    <xf numFmtId="3" fontId="21" fillId="0" borderId="68" xfId="113" applyNumberFormat="1" applyFont="1" applyBorder="1"/>
    <xf numFmtId="3" fontId="20" fillId="0" borderId="31" xfId="113" applyNumberFormat="1" applyFont="1" applyBorder="1" applyAlignment="1">
      <alignment horizontal="right"/>
    </xf>
    <xf numFmtId="3" fontId="20" fillId="0" borderId="0" xfId="113" applyNumberFormat="1" applyFont="1" applyBorder="1" applyAlignment="1">
      <alignment horizontal="right"/>
    </xf>
    <xf numFmtId="3" fontId="26" fillId="0" borderId="69" xfId="104" applyNumberFormat="1" applyFont="1" applyFill="1" applyBorder="1" applyAlignment="1">
      <alignment wrapText="1"/>
    </xf>
    <xf numFmtId="3" fontId="25" fillId="0" borderId="16" xfId="104" applyNumberFormat="1" applyFont="1" applyFill="1" applyBorder="1" applyAlignment="1">
      <alignment horizontal="right"/>
    </xf>
    <xf numFmtId="3" fontId="21" fillId="0" borderId="23" xfId="106" applyNumberFormat="1" applyFont="1" applyBorder="1" applyAlignment="1">
      <alignment horizontal="right"/>
    </xf>
    <xf numFmtId="3" fontId="28" fillId="29" borderId="19" xfId="113" applyNumberFormat="1" applyFont="1" applyFill="1" applyBorder="1" applyAlignment="1">
      <alignment horizontal="right" wrapText="1"/>
    </xf>
    <xf numFmtId="3" fontId="33" fillId="29" borderId="0" xfId="113" applyNumberFormat="1" applyFont="1" applyFill="1" applyBorder="1"/>
    <xf numFmtId="0" fontId="36" fillId="29" borderId="0" xfId="113" applyFont="1" applyFill="1" applyBorder="1"/>
    <xf numFmtId="3" fontId="22" fillId="29" borderId="0" xfId="113" applyNumberFormat="1" applyFont="1" applyFill="1" applyBorder="1"/>
    <xf numFmtId="3" fontId="22" fillId="29" borderId="0" xfId="113" applyNumberFormat="1" applyFont="1" applyFill="1" applyBorder="1" applyAlignment="1">
      <alignment vertical="center"/>
    </xf>
    <xf numFmtId="0" fontId="28" fillId="29" borderId="0" xfId="113" applyFont="1" applyFill="1" applyBorder="1" applyAlignment="1">
      <alignment vertical="center" wrapText="1"/>
    </xf>
    <xf numFmtId="0" fontId="28" fillId="29" borderId="0" xfId="113" applyFont="1" applyFill="1" applyBorder="1" applyAlignment="1">
      <alignment vertical="center"/>
    </xf>
    <xf numFmtId="3" fontId="28" fillId="29" borderId="0" xfId="113" applyNumberFormat="1" applyFont="1" applyFill="1" applyBorder="1" applyAlignment="1">
      <alignment vertical="center"/>
    </xf>
    <xf numFmtId="0" fontId="22" fillId="29" borderId="0" xfId="113" applyFont="1" applyFill="1" applyBorder="1" applyAlignment="1">
      <alignment vertical="center"/>
    </xf>
    <xf numFmtId="3" fontId="22" fillId="29" borderId="0" xfId="113" applyNumberFormat="1" applyFont="1" applyFill="1" applyBorder="1" applyAlignment="1">
      <alignment horizontal="right" wrapText="1"/>
    </xf>
    <xf numFmtId="0" fontId="26" fillId="0" borderId="50" xfId="113" applyFont="1" applyFill="1" applyBorder="1" applyAlignment="1">
      <alignment wrapText="1"/>
    </xf>
    <xf numFmtId="3" fontId="26" fillId="30" borderId="50" xfId="98" applyNumberFormat="1" applyFont="1" applyFill="1" applyBorder="1" applyAlignment="1">
      <alignment wrapText="1"/>
    </xf>
    <xf numFmtId="0" fontId="26" fillId="0" borderId="13" xfId="110" applyFont="1" applyFill="1" applyBorder="1" applyAlignment="1">
      <alignment wrapText="1"/>
    </xf>
    <xf numFmtId="0" fontId="26" fillId="30" borderId="50" xfId="0" applyFont="1" applyFill="1" applyBorder="1" applyAlignment="1">
      <alignment wrapText="1"/>
    </xf>
    <xf numFmtId="0" fontId="26" fillId="0" borderId="14" xfId="106" applyFont="1" applyFill="1" applyBorder="1" applyAlignment="1">
      <alignment horizontal="left" vertical="center" wrapText="1"/>
    </xf>
    <xf numFmtId="0" fontId="26" fillId="0" borderId="29" xfId="105" applyFont="1" applyFill="1" applyBorder="1" applyAlignment="1">
      <alignment horizontal="left" vertical="center" wrapText="1"/>
    </xf>
    <xf numFmtId="3" fontId="26" fillId="0" borderId="50" xfId="98" applyNumberFormat="1" applyFont="1" applyFill="1" applyBorder="1" applyAlignment="1">
      <alignment wrapText="1"/>
    </xf>
    <xf numFmtId="0" fontId="26" fillId="0" borderId="50" xfId="0" applyFont="1" applyFill="1" applyBorder="1"/>
    <xf numFmtId="0" fontId="25" fillId="0" borderId="14" xfId="106" applyFont="1" applyBorder="1" applyAlignment="1">
      <alignment wrapText="1"/>
    </xf>
    <xf numFmtId="0" fontId="25" fillId="0" borderId="13" xfId="106" applyFont="1" applyFill="1" applyBorder="1" applyAlignment="1">
      <alignment wrapText="1"/>
    </xf>
    <xf numFmtId="0" fontId="25" fillId="0" borderId="13" xfId="106" applyFont="1" applyBorder="1" applyAlignment="1">
      <alignment wrapText="1"/>
    </xf>
    <xf numFmtId="3" fontId="25" fillId="0" borderId="22" xfId="104" applyNumberFormat="1" applyFont="1" applyFill="1" applyBorder="1" applyAlignment="1">
      <alignment horizontal="right"/>
    </xf>
    <xf numFmtId="3" fontId="25" fillId="0" borderId="57" xfId="104" applyNumberFormat="1" applyFont="1" applyBorder="1" applyAlignment="1">
      <alignment horizontal="right"/>
    </xf>
    <xf numFmtId="3" fontId="26" fillId="0" borderId="22" xfId="113" applyNumberFormat="1" applyFont="1" applyBorder="1"/>
    <xf numFmtId="3" fontId="26" fillId="0" borderId="43" xfId="113" applyNumberFormat="1" applyFont="1" applyBorder="1"/>
    <xf numFmtId="0" fontId="20" fillId="29" borderId="71" xfId="113" applyFont="1" applyFill="1" applyBorder="1"/>
    <xf numFmtId="0" fontId="22" fillId="29" borderId="70" xfId="112" applyFont="1" applyFill="1" applyBorder="1" applyAlignment="1">
      <alignment wrapText="1"/>
    </xf>
    <xf numFmtId="0" fontId="28" fillId="29" borderId="32" xfId="112" applyFont="1" applyFill="1" applyBorder="1" applyAlignment="1">
      <alignment wrapText="1"/>
    </xf>
    <xf numFmtId="0" fontId="22" fillId="29" borderId="32" xfId="112" applyFont="1" applyFill="1" applyBorder="1" applyAlignment="1">
      <alignment wrapText="1"/>
    </xf>
    <xf numFmtId="0" fontId="22" fillId="29" borderId="32" xfId="113" applyFont="1" applyFill="1" applyBorder="1" applyAlignment="1">
      <alignment wrapText="1"/>
    </xf>
    <xf numFmtId="0" fontId="28" fillId="29" borderId="48" xfId="113" applyFont="1" applyFill="1" applyBorder="1" applyAlignment="1">
      <alignment wrapText="1"/>
    </xf>
    <xf numFmtId="0" fontId="28" fillId="29" borderId="32" xfId="113" applyFont="1" applyFill="1" applyBorder="1" applyAlignment="1">
      <alignment wrapText="1"/>
    </xf>
    <xf numFmtId="164" fontId="28" fillId="29" borderId="32" xfId="113" applyNumberFormat="1" applyFont="1" applyFill="1" applyBorder="1" applyAlignment="1">
      <alignment wrapText="1"/>
    </xf>
    <xf numFmtId="164" fontId="28" fillId="29" borderId="48" xfId="113" applyNumberFormat="1" applyFont="1" applyFill="1" applyBorder="1" applyAlignment="1">
      <alignment wrapText="1"/>
    </xf>
    <xf numFmtId="0" fontId="28" fillId="29" borderId="32" xfId="112" applyFont="1" applyFill="1" applyBorder="1" applyAlignment="1">
      <alignment horizontal="left" wrapText="1"/>
    </xf>
    <xf numFmtId="0" fontId="22" fillId="0" borderId="32" xfId="113" applyFont="1" applyBorder="1"/>
    <xf numFmtId="0" fontId="28" fillId="0" borderId="32" xfId="113" applyFont="1" applyBorder="1"/>
    <xf numFmtId="0" fontId="28" fillId="0" borderId="53" xfId="113" applyFont="1" applyBorder="1"/>
    <xf numFmtId="3" fontId="22" fillId="29" borderId="22" xfId="113" applyNumberFormat="1" applyFont="1" applyFill="1" applyBorder="1" applyAlignment="1">
      <alignment horizontal="right" wrapText="1"/>
    </xf>
    <xf numFmtId="3" fontId="28" fillId="29" borderId="22" xfId="113" applyNumberFormat="1" applyFont="1" applyFill="1" applyBorder="1" applyAlignment="1">
      <alignment horizontal="right" wrapText="1"/>
    </xf>
    <xf numFmtId="3" fontId="28" fillId="29" borderId="43" xfId="113" applyNumberFormat="1" applyFont="1" applyFill="1" applyBorder="1" applyAlignment="1">
      <alignment horizontal="right" wrapText="1"/>
    </xf>
    <xf numFmtId="3" fontId="33" fillId="29" borderId="22" xfId="113" applyNumberFormat="1" applyFont="1" applyFill="1" applyBorder="1" applyAlignment="1">
      <alignment horizontal="right" wrapText="1"/>
    </xf>
    <xf numFmtId="0" fontId="20" fillId="0" borderId="16" xfId="0" applyFont="1" applyBorder="1" applyAlignment="1">
      <alignment wrapText="1"/>
    </xf>
    <xf numFmtId="0" fontId="20" fillId="0" borderId="16" xfId="108" applyFont="1" applyFill="1" applyBorder="1"/>
    <xf numFmtId="0" fontId="21" fillId="0" borderId="19" xfId="107" applyFont="1" applyFill="1" applyBorder="1" applyAlignment="1">
      <alignment wrapText="1"/>
    </xf>
    <xf numFmtId="3" fontId="21" fillId="0" borderId="24" xfId="113" applyNumberFormat="1" applyFont="1" applyBorder="1"/>
    <xf numFmtId="3" fontId="21" fillId="0" borderId="19" xfId="113" applyNumberFormat="1" applyFont="1" applyBorder="1"/>
    <xf numFmtId="3" fontId="21" fillId="0" borderId="43" xfId="113" applyNumberFormat="1" applyFont="1" applyBorder="1"/>
    <xf numFmtId="3" fontId="22" fillId="29" borderId="44" xfId="113" applyNumberFormat="1" applyFont="1" applyFill="1" applyBorder="1" applyAlignment="1">
      <alignment horizontal="right" wrapText="1"/>
    </xf>
    <xf numFmtId="3" fontId="28" fillId="29" borderId="50" xfId="113" applyNumberFormat="1" applyFont="1" applyFill="1" applyBorder="1" applyAlignment="1">
      <alignment horizontal="right" wrapText="1"/>
    </xf>
    <xf numFmtId="4" fontId="28" fillId="29" borderId="22" xfId="113" applyNumberFormat="1" applyFont="1" applyFill="1" applyBorder="1" applyAlignment="1">
      <alignment horizontal="right" wrapText="1"/>
    </xf>
    <xf numFmtId="3" fontId="21" fillId="0" borderId="57" xfId="113" applyNumberFormat="1" applyFont="1" applyBorder="1"/>
    <xf numFmtId="0" fontId="21" fillId="0" borderId="74" xfId="113" applyFont="1" applyBorder="1"/>
    <xf numFmtId="3" fontId="21" fillId="0" borderId="76" xfId="113" applyNumberFormat="1" applyFont="1" applyBorder="1"/>
    <xf numFmtId="3" fontId="25" fillId="0" borderId="43" xfId="104" applyNumberFormat="1" applyFont="1" applyBorder="1" applyAlignment="1">
      <alignment horizontal="right"/>
    </xf>
    <xf numFmtId="3" fontId="25" fillId="0" borderId="64" xfId="104" applyNumberFormat="1" applyFont="1" applyBorder="1" applyAlignment="1">
      <alignment horizontal="right"/>
    </xf>
    <xf numFmtId="4" fontId="20" fillId="29" borderId="22" xfId="113" applyNumberFormat="1" applyFont="1" applyFill="1" applyBorder="1" applyAlignment="1">
      <alignment horizontal="right" wrapText="1"/>
    </xf>
    <xf numFmtId="0" fontId="26" fillId="0" borderId="56" xfId="106" applyFont="1" applyFill="1" applyBorder="1" applyAlignment="1">
      <alignment horizontal="left" wrapText="1"/>
    </xf>
    <xf numFmtId="0" fontId="26" fillId="0" borderId="14" xfId="105" applyFont="1" applyFill="1" applyBorder="1" applyAlignment="1">
      <alignment horizontal="left" vertical="center" wrapText="1"/>
    </xf>
    <xf numFmtId="0" fontId="26" fillId="0" borderId="52" xfId="105" applyFont="1" applyFill="1" applyBorder="1" applyAlignment="1">
      <alignment horizontal="left" vertical="center" wrapText="1"/>
    </xf>
    <xf numFmtId="3" fontId="20" fillId="0" borderId="22" xfId="113" applyNumberFormat="1" applyFont="1" applyBorder="1"/>
    <xf numFmtId="0" fontId="0" fillId="0" borderId="32" xfId="113" applyFont="1" applyBorder="1"/>
    <xf numFmtId="0" fontId="20" fillId="0" borderId="50" xfId="107" applyFont="1" applyFill="1" applyBorder="1" applyAlignment="1">
      <alignment horizontal="center"/>
    </xf>
    <xf numFmtId="0" fontId="21" fillId="0" borderId="50" xfId="107" applyFont="1" applyFill="1" applyBorder="1" applyAlignment="1">
      <alignment horizontal="center"/>
    </xf>
    <xf numFmtId="0" fontId="20" fillId="0" borderId="56" xfId="107" applyFont="1" applyFill="1" applyBorder="1" applyAlignment="1">
      <alignment horizontal="center"/>
    </xf>
    <xf numFmtId="0" fontId="20" fillId="0" borderId="50" xfId="107" applyFont="1" applyBorder="1"/>
    <xf numFmtId="0" fontId="20" fillId="0" borderId="51" xfId="107" applyFont="1" applyBorder="1"/>
    <xf numFmtId="3" fontId="20" fillId="0" borderId="69" xfId="113" applyNumberFormat="1" applyFont="1" applyBorder="1" applyAlignment="1">
      <alignment horizontal="right"/>
    </xf>
    <xf numFmtId="3" fontId="20" fillId="0" borderId="77" xfId="113" applyNumberFormat="1" applyFont="1" applyBorder="1" applyAlignment="1">
      <alignment horizontal="right"/>
    </xf>
    <xf numFmtId="3" fontId="20" fillId="0" borderId="28" xfId="113" applyNumberFormat="1" applyFont="1" applyBorder="1" applyAlignment="1">
      <alignment horizontal="right"/>
    </xf>
    <xf numFmtId="0" fontId="20" fillId="0" borderId="74" xfId="113" applyFont="1" applyBorder="1" applyAlignment="1">
      <alignment wrapText="1"/>
    </xf>
    <xf numFmtId="3" fontId="20" fillId="0" borderId="69" xfId="113" applyNumberFormat="1" applyFont="1" applyBorder="1"/>
    <xf numFmtId="0" fontId="21" fillId="0" borderId="53" xfId="113" applyFont="1" applyBorder="1" applyAlignment="1">
      <alignment wrapText="1"/>
    </xf>
    <xf numFmtId="3" fontId="21" fillId="0" borderId="51" xfId="113" applyNumberFormat="1" applyFont="1" applyBorder="1"/>
    <xf numFmtId="0" fontId="25" fillId="0" borderId="41" xfId="106" applyFont="1" applyFill="1" applyBorder="1" applyAlignment="1">
      <alignment horizontal="center" vertical="center" wrapText="1"/>
    </xf>
    <xf numFmtId="3" fontId="20" fillId="0" borderId="34" xfId="113" applyNumberFormat="1" applyFont="1" applyBorder="1" applyAlignment="1">
      <alignment horizontal="right"/>
    </xf>
    <xf numFmtId="0" fontId="20" fillId="0" borderId="0" xfId="106" applyFont="1" applyBorder="1" applyAlignment="1">
      <alignment wrapText="1"/>
    </xf>
    <xf numFmtId="3" fontId="21" fillId="0" borderId="54" xfId="113" applyNumberFormat="1" applyFont="1" applyBorder="1"/>
    <xf numFmtId="3" fontId="21" fillId="0" borderId="62" xfId="113" applyNumberFormat="1" applyFont="1" applyBorder="1"/>
    <xf numFmtId="3" fontId="20" fillId="0" borderId="64" xfId="113" applyNumberFormat="1" applyFont="1" applyBorder="1" applyAlignment="1">
      <alignment horizontal="right"/>
    </xf>
    <xf numFmtId="3" fontId="21" fillId="0" borderId="56" xfId="113" applyNumberFormat="1" applyFont="1" applyBorder="1"/>
    <xf numFmtId="0" fontId="20" fillId="0" borderId="46" xfId="113" applyFont="1" applyBorder="1" applyAlignment="1">
      <alignment wrapText="1"/>
    </xf>
    <xf numFmtId="3" fontId="20" fillId="0" borderId="41" xfId="113" applyNumberFormat="1" applyFont="1" applyBorder="1" applyAlignment="1">
      <alignment horizontal="right"/>
    </xf>
    <xf numFmtId="3" fontId="20" fillId="0" borderId="68" xfId="113" applyNumberFormat="1" applyFont="1" applyBorder="1" applyAlignment="1">
      <alignment horizontal="right"/>
    </xf>
    <xf numFmtId="3" fontId="20" fillId="0" borderId="64" xfId="113" applyNumberFormat="1" applyFont="1" applyBorder="1"/>
    <xf numFmtId="3" fontId="21" fillId="0" borderId="66" xfId="113" applyNumberFormat="1" applyFont="1" applyBorder="1"/>
    <xf numFmtId="3" fontId="20" fillId="0" borderId="68" xfId="113" applyNumberFormat="1" applyFont="1" applyBorder="1"/>
    <xf numFmtId="0" fontId="20" fillId="0" borderId="0" xfId="106" applyFont="1" applyAlignment="1">
      <alignment wrapText="1"/>
    </xf>
    <xf numFmtId="0" fontId="21" fillId="0" borderId="0" xfId="106" applyFont="1" applyBorder="1" applyAlignment="1">
      <alignment wrapText="1"/>
    </xf>
    <xf numFmtId="3" fontId="20" fillId="0" borderId="0" xfId="106" applyNumberFormat="1" applyFont="1" applyAlignment="1">
      <alignment horizontal="right"/>
    </xf>
    <xf numFmtId="0" fontId="21" fillId="0" borderId="34" xfId="113" applyFont="1" applyBorder="1" applyAlignment="1">
      <alignment horizontal="center" vertical="center" wrapText="1"/>
    </xf>
    <xf numFmtId="0" fontId="21" fillId="0" borderId="64" xfId="113" applyFont="1" applyBorder="1" applyAlignment="1">
      <alignment horizontal="center" vertical="center" wrapText="1"/>
    </xf>
    <xf numFmtId="3" fontId="21" fillId="0" borderId="0" xfId="106" applyNumberFormat="1" applyFont="1" applyBorder="1" applyAlignment="1">
      <alignment horizontal="right"/>
    </xf>
    <xf numFmtId="0" fontId="25" fillId="0" borderId="63" xfId="106" applyFont="1" applyBorder="1" applyAlignment="1">
      <alignment wrapText="1"/>
    </xf>
    <xf numFmtId="3" fontId="22" fillId="0" borderId="0" xfId="113" applyNumberFormat="1" applyFont="1"/>
    <xf numFmtId="0" fontId="26" fillId="0" borderId="0" xfId="110" applyFont="1" applyFill="1" applyAlignment="1">
      <alignment horizontal="center" vertical="center" wrapText="1"/>
    </xf>
    <xf numFmtId="3" fontId="25" fillId="0" borderId="45" xfId="104" applyNumberFormat="1" applyFont="1" applyBorder="1" applyAlignment="1">
      <alignment horizontal="center" wrapText="1"/>
    </xf>
    <xf numFmtId="0" fontId="20" fillId="0" borderId="50" xfId="107" applyNumberFormat="1" applyFont="1" applyFill="1" applyBorder="1" applyAlignment="1">
      <alignment horizontal="center"/>
    </xf>
    <xf numFmtId="0" fontId="21" fillId="0" borderId="40" xfId="107" applyFont="1" applyFill="1" applyBorder="1"/>
    <xf numFmtId="2" fontId="21" fillId="0" borderId="40" xfId="107" applyNumberFormat="1" applyFont="1" applyFill="1" applyBorder="1"/>
    <xf numFmtId="166" fontId="21" fillId="0" borderId="40" xfId="107" applyNumberFormat="1" applyFont="1" applyFill="1" applyBorder="1"/>
    <xf numFmtId="3" fontId="21" fillId="0" borderId="40" xfId="107" applyNumberFormat="1" applyFont="1" applyFill="1" applyBorder="1"/>
    <xf numFmtId="0" fontId="20" fillId="0" borderId="32" xfId="107" applyFont="1" applyFill="1" applyBorder="1" applyAlignment="1">
      <alignment horizontal="center"/>
    </xf>
    <xf numFmtId="0" fontId="20" fillId="29" borderId="86" xfId="113" applyFont="1" applyFill="1" applyBorder="1" applyAlignment="1">
      <alignment wrapText="1"/>
    </xf>
    <xf numFmtId="0" fontId="22" fillId="0" borderId="0" xfId="113" applyFont="1" applyBorder="1" applyAlignment="1">
      <alignment horizontal="center"/>
    </xf>
    <xf numFmtId="0" fontId="25" fillId="0" borderId="0" xfId="110" applyFont="1" applyFill="1" applyBorder="1" applyAlignment="1">
      <alignment horizontal="center" wrapText="1"/>
    </xf>
    <xf numFmtId="3" fontId="22" fillId="29" borderId="55" xfId="113" applyNumberFormat="1" applyFont="1" applyFill="1" applyBorder="1" applyAlignment="1">
      <alignment horizontal="right" wrapText="1"/>
    </xf>
    <xf numFmtId="3" fontId="33" fillId="29" borderId="50" xfId="113" applyNumberFormat="1" applyFont="1" applyFill="1" applyBorder="1" applyAlignment="1">
      <alignment horizontal="right" wrapText="1"/>
    </xf>
    <xf numFmtId="3" fontId="33" fillId="29" borderId="17" xfId="113" applyNumberFormat="1" applyFont="1" applyFill="1" applyBorder="1"/>
    <xf numFmtId="3" fontId="33" fillId="29" borderId="16" xfId="113" applyNumberFormat="1" applyFont="1" applyFill="1" applyBorder="1"/>
    <xf numFmtId="3" fontId="33" fillId="29" borderId="23" xfId="113" applyNumberFormat="1" applyFont="1" applyFill="1" applyBorder="1"/>
    <xf numFmtId="3" fontId="33" fillId="29" borderId="23" xfId="113" applyNumberFormat="1" applyFont="1" applyFill="1" applyBorder="1" applyAlignment="1">
      <alignment horizontal="right" wrapText="1"/>
    </xf>
    <xf numFmtId="3" fontId="22" fillId="29" borderId="50" xfId="113" applyNumberFormat="1" applyFont="1" applyFill="1" applyBorder="1" applyAlignment="1">
      <alignment horizontal="right" wrapText="1"/>
    </xf>
    <xf numFmtId="3" fontId="28" fillId="29" borderId="57" xfId="113" applyNumberFormat="1" applyFont="1" applyFill="1" applyBorder="1" applyAlignment="1">
      <alignment horizontal="right" wrapText="1"/>
    </xf>
    <xf numFmtId="3" fontId="28" fillId="29" borderId="51" xfId="113" applyNumberFormat="1" applyFont="1" applyFill="1" applyBorder="1" applyAlignment="1">
      <alignment horizontal="right" wrapText="1"/>
    </xf>
    <xf numFmtId="3" fontId="28" fillId="29" borderId="23" xfId="113" applyNumberFormat="1" applyFont="1" applyFill="1" applyBorder="1"/>
    <xf numFmtId="3" fontId="28" fillId="29" borderId="16" xfId="113" applyNumberFormat="1" applyFont="1" applyFill="1" applyBorder="1"/>
    <xf numFmtId="3" fontId="22" fillId="29" borderId="23" xfId="113" applyNumberFormat="1" applyFont="1" applyFill="1" applyBorder="1"/>
    <xf numFmtId="0" fontId="20" fillId="29" borderId="0" xfId="113" applyFont="1" applyFill="1" applyBorder="1"/>
    <xf numFmtId="0" fontId="21" fillId="29" borderId="0" xfId="113" applyFont="1" applyFill="1" applyBorder="1" applyAlignment="1">
      <alignment vertical="center"/>
    </xf>
    <xf numFmtId="0" fontId="21" fillId="29" borderId="0" xfId="113" applyFont="1" applyFill="1" applyBorder="1"/>
    <xf numFmtId="3" fontId="20" fillId="29" borderId="21" xfId="113" applyNumberFormat="1" applyFont="1" applyFill="1" applyBorder="1" applyAlignment="1">
      <alignment horizontal="right" wrapText="1"/>
    </xf>
    <xf numFmtId="3" fontId="21" fillId="29" borderId="21" xfId="113" applyNumberFormat="1" applyFont="1" applyFill="1" applyBorder="1" applyAlignment="1">
      <alignment horizontal="right" wrapText="1"/>
    </xf>
    <xf numFmtId="3" fontId="21" fillId="29" borderId="0" xfId="113" applyNumberFormat="1" applyFont="1" applyFill="1" applyBorder="1" applyAlignment="1">
      <alignment vertical="center"/>
    </xf>
    <xf numFmtId="0" fontId="20" fillId="29" borderId="0" xfId="113" applyFont="1" applyFill="1" applyBorder="1" applyAlignment="1">
      <alignment vertical="center" wrapText="1"/>
    </xf>
    <xf numFmtId="0" fontId="20" fillId="29" borderId="0" xfId="113" applyFont="1" applyFill="1" applyBorder="1" applyAlignment="1">
      <alignment vertical="center"/>
    </xf>
    <xf numFmtId="3" fontId="21" fillId="29" borderId="16" xfId="113" applyNumberFormat="1" applyFont="1" applyFill="1" applyBorder="1" applyAlignment="1">
      <alignment vertical="center"/>
    </xf>
    <xf numFmtId="3" fontId="21" fillId="29" borderId="0" xfId="113" applyNumberFormat="1" applyFont="1" applyFill="1" applyBorder="1"/>
    <xf numFmtId="0" fontId="21" fillId="0" borderId="0" xfId="113" applyFont="1" applyBorder="1"/>
    <xf numFmtId="4" fontId="20" fillId="0" borderId="0" xfId="113" applyNumberFormat="1" applyFont="1" applyBorder="1"/>
    <xf numFmtId="3" fontId="21" fillId="29" borderId="58" xfId="113" applyNumberFormat="1" applyFont="1" applyFill="1" applyBorder="1" applyAlignment="1">
      <alignment horizontal="right" wrapText="1"/>
    </xf>
    <xf numFmtId="3" fontId="20" fillId="29" borderId="57" xfId="113" applyNumberFormat="1" applyFont="1" applyFill="1" applyBorder="1" applyAlignment="1">
      <alignment horizontal="right" wrapText="1"/>
    </xf>
    <xf numFmtId="4" fontId="20" fillId="29" borderId="19" xfId="113" applyNumberFormat="1" applyFont="1" applyFill="1" applyBorder="1" applyAlignment="1">
      <alignment horizontal="right" wrapText="1"/>
    </xf>
    <xf numFmtId="0" fontId="20" fillId="0" borderId="51" xfId="107" applyFont="1" applyFill="1" applyBorder="1" applyAlignment="1">
      <alignment horizontal="center"/>
    </xf>
    <xf numFmtId="0" fontId="21" fillId="0" borderId="19" xfId="107" applyFont="1" applyFill="1" applyBorder="1"/>
    <xf numFmtId="2" fontId="21" fillId="0" borderId="19" xfId="107" applyNumberFormat="1" applyFont="1" applyFill="1" applyBorder="1"/>
    <xf numFmtId="3" fontId="21" fillId="0" borderId="19" xfId="107" applyNumberFormat="1" applyFont="1" applyFill="1" applyBorder="1"/>
    <xf numFmtId="0" fontId="20" fillId="0" borderId="50" xfId="107" applyFont="1" applyBorder="1" applyAlignment="1">
      <alignment horizontal="center"/>
    </xf>
    <xf numFmtId="0" fontId="20" fillId="0" borderId="50" xfId="107" applyNumberFormat="1" applyFont="1" applyFill="1" applyBorder="1" applyAlignment="1">
      <alignment horizontal="center" wrapText="1"/>
    </xf>
    <xf numFmtId="0" fontId="20" fillId="0" borderId="50" xfId="107" applyFont="1" applyFill="1" applyBorder="1" applyAlignment="1">
      <alignment horizontal="center" wrapText="1"/>
    </xf>
    <xf numFmtId="0" fontId="21" fillId="0" borderId="0" xfId="113" applyFont="1" applyBorder="1" applyAlignment="1">
      <alignment horizontal="center"/>
    </xf>
    <xf numFmtId="0" fontId="20" fillId="0" borderId="0" xfId="113" applyFont="1"/>
    <xf numFmtId="0" fontId="20" fillId="0" borderId="0" xfId="113" applyFont="1" applyAlignment="1">
      <alignment horizontal="right"/>
    </xf>
    <xf numFmtId="0" fontId="20" fillId="0" borderId="50" xfId="113" applyFont="1" applyBorder="1" applyAlignment="1">
      <alignment wrapText="1"/>
    </xf>
    <xf numFmtId="3" fontId="21" fillId="0" borderId="58" xfId="113" applyNumberFormat="1" applyFont="1" applyBorder="1"/>
    <xf numFmtId="3" fontId="20" fillId="0" borderId="41" xfId="113" applyNumberFormat="1" applyFont="1" applyBorder="1"/>
    <xf numFmtId="3" fontId="21" fillId="0" borderId="78" xfId="113" applyNumberFormat="1" applyFont="1" applyBorder="1"/>
    <xf numFmtId="3" fontId="21" fillId="0" borderId="69" xfId="113" applyNumberFormat="1" applyFont="1" applyBorder="1"/>
    <xf numFmtId="3" fontId="20" fillId="0" borderId="0" xfId="113" applyNumberFormat="1" applyFont="1"/>
    <xf numFmtId="0" fontId="28" fillId="0" borderId="0" xfId="113" applyFont="1" applyAlignment="1">
      <alignment vertical="center"/>
    </xf>
    <xf numFmtId="3" fontId="20" fillId="29" borderId="65" xfId="113" applyNumberFormat="1" applyFont="1" applyFill="1" applyBorder="1"/>
    <xf numFmtId="3" fontId="20" fillId="0" borderId="89" xfId="113" applyNumberFormat="1" applyFont="1" applyBorder="1"/>
    <xf numFmtId="3" fontId="20" fillId="0" borderId="88" xfId="113" applyNumberFormat="1" applyFont="1" applyBorder="1"/>
    <xf numFmtId="3" fontId="0" fillId="0" borderId="0" xfId="113" applyNumberFormat="1" applyFont="1"/>
    <xf numFmtId="3" fontId="20" fillId="0" borderId="30" xfId="113" applyNumberFormat="1" applyFont="1" applyBorder="1" applyAlignment="1">
      <alignment horizontal="right"/>
    </xf>
    <xf numFmtId="3" fontId="20" fillId="0" borderId="40" xfId="113" applyNumberFormat="1" applyFont="1" applyBorder="1"/>
    <xf numFmtId="3" fontId="20" fillId="0" borderId="60" xfId="113" applyNumberFormat="1" applyFont="1" applyBorder="1"/>
    <xf numFmtId="0" fontId="26" fillId="30" borderId="50" xfId="112" applyFont="1" applyFill="1" applyBorder="1" applyAlignment="1">
      <alignment wrapText="1"/>
    </xf>
    <xf numFmtId="0" fontId="26" fillId="30" borderId="52" xfId="112" applyFont="1" applyFill="1" applyBorder="1" applyAlignment="1">
      <alignment wrapText="1"/>
    </xf>
    <xf numFmtId="3" fontId="26" fillId="0" borderId="22" xfId="104" applyNumberFormat="1" applyFont="1" applyFill="1" applyBorder="1"/>
    <xf numFmtId="0" fontId="26" fillId="0" borderId="63" xfId="106" applyFont="1" applyFill="1" applyBorder="1" applyAlignment="1">
      <alignment horizontal="left" wrapText="1"/>
    </xf>
    <xf numFmtId="0" fontId="26" fillId="0" borderId="69" xfId="106" applyFont="1" applyFill="1" applyBorder="1" applyAlignment="1">
      <alignment horizontal="left" wrapText="1"/>
    </xf>
    <xf numFmtId="0" fontId="26" fillId="0" borderId="52" xfId="106" applyFont="1" applyFill="1" applyBorder="1" applyAlignment="1">
      <alignment horizontal="left" wrapText="1"/>
    </xf>
    <xf numFmtId="0" fontId="26" fillId="30" borderId="28" xfId="112" applyFont="1" applyFill="1" applyBorder="1" applyAlignment="1">
      <alignment wrapText="1"/>
    </xf>
    <xf numFmtId="3" fontId="25" fillId="0" borderId="38" xfId="104" applyNumberFormat="1" applyFont="1" applyBorder="1" applyAlignment="1">
      <alignment wrapText="1"/>
    </xf>
    <xf numFmtId="3" fontId="25" fillId="0" borderId="44" xfId="104" applyNumberFormat="1" applyFont="1" applyFill="1" applyBorder="1"/>
    <xf numFmtId="164" fontId="20" fillId="0" borderId="13" xfId="106" applyNumberFormat="1" applyFont="1" applyBorder="1" applyAlignment="1">
      <alignment wrapText="1"/>
    </xf>
    <xf numFmtId="3" fontId="21" fillId="0" borderId="23" xfId="78" applyNumberFormat="1" applyFont="1" applyBorder="1" applyAlignment="1">
      <alignment horizontal="right" wrapText="1"/>
    </xf>
    <xf numFmtId="164" fontId="20" fillId="0" borderId="39" xfId="106" applyNumberFormat="1" applyFont="1" applyBorder="1" applyAlignment="1">
      <alignment wrapText="1"/>
    </xf>
    <xf numFmtId="3" fontId="20" fillId="0" borderId="0" xfId="106" applyNumberFormat="1" applyFont="1" applyBorder="1" applyAlignment="1">
      <alignment horizontal="right"/>
    </xf>
    <xf numFmtId="3" fontId="20" fillId="0" borderId="0" xfId="78" applyNumberFormat="1" applyFont="1" applyBorder="1" applyAlignment="1">
      <alignment horizontal="right"/>
    </xf>
    <xf numFmtId="0" fontId="20" fillId="0" borderId="13" xfId="106" applyFont="1" applyFill="1" applyBorder="1" applyAlignment="1">
      <alignment wrapText="1"/>
    </xf>
    <xf numFmtId="3" fontId="21" fillId="0" borderId="0" xfId="78" applyNumberFormat="1" applyFont="1" applyBorder="1" applyAlignment="1">
      <alignment horizontal="right"/>
    </xf>
    <xf numFmtId="3" fontId="20" fillId="0" borderId="55" xfId="78" applyNumberFormat="1" applyFont="1" applyBorder="1" applyAlignment="1">
      <alignment horizontal="right"/>
    </xf>
    <xf numFmtId="3" fontId="21" fillId="0" borderId="23" xfId="106" applyNumberFormat="1" applyFont="1" applyBorder="1" applyAlignment="1">
      <alignment horizontal="right" wrapText="1"/>
    </xf>
    <xf numFmtId="3" fontId="21" fillId="0" borderId="51" xfId="106" applyNumberFormat="1" applyFont="1" applyBorder="1" applyAlignment="1">
      <alignment horizontal="right"/>
    </xf>
    <xf numFmtId="0" fontId="21" fillId="0" borderId="0" xfId="113" applyFont="1" applyBorder="1" applyAlignment="1">
      <alignment horizontal="center" vertical="center" wrapText="1"/>
    </xf>
    <xf numFmtId="0" fontId="28" fillId="0" borderId="0" xfId="106" applyFont="1" applyBorder="1" applyAlignment="1">
      <alignment wrapText="1"/>
    </xf>
    <xf numFmtId="3" fontId="21" fillId="0" borderId="69" xfId="78" applyNumberFormat="1" applyFont="1" applyBorder="1" applyAlignment="1">
      <alignment horizontal="right"/>
    </xf>
    <xf numFmtId="3" fontId="21" fillId="0" borderId="76" xfId="78" applyNumberFormat="1" applyFont="1" applyBorder="1" applyAlignment="1">
      <alignment horizontal="right"/>
    </xf>
    <xf numFmtId="3" fontId="21" fillId="0" borderId="50" xfId="78" applyNumberFormat="1" applyFont="1" applyBorder="1" applyAlignment="1">
      <alignment horizontal="right" wrapText="1"/>
    </xf>
    <xf numFmtId="3" fontId="20" fillId="0" borderId="25" xfId="106" applyNumberFormat="1" applyFont="1" applyBorder="1" applyAlignment="1">
      <alignment horizontal="right"/>
    </xf>
    <xf numFmtId="3" fontId="20" fillId="0" borderId="17" xfId="78" applyNumberFormat="1" applyFont="1" applyBorder="1" applyAlignment="1">
      <alignment horizontal="right" wrapText="1"/>
    </xf>
    <xf numFmtId="3" fontId="20" fillId="0" borderId="0" xfId="0" applyNumberFormat="1" applyFont="1"/>
    <xf numFmtId="0" fontId="22" fillId="29" borderId="74" xfId="113" applyFont="1" applyFill="1" applyBorder="1" applyAlignment="1">
      <alignment horizontal="center" vertical="center" wrapText="1"/>
    </xf>
    <xf numFmtId="0" fontId="26" fillId="0" borderId="16" xfId="113" applyFont="1" applyBorder="1"/>
    <xf numFmtId="3" fontId="26" fillId="0" borderId="26" xfId="113" applyNumberFormat="1" applyFont="1" applyBorder="1"/>
    <xf numFmtId="4" fontId="28" fillId="29" borderId="76" xfId="113" applyNumberFormat="1" applyFont="1" applyFill="1" applyBorder="1" applyAlignment="1">
      <alignment horizontal="right" wrapText="1"/>
    </xf>
    <xf numFmtId="0" fontId="22" fillId="29" borderId="69" xfId="113" applyFont="1" applyFill="1" applyBorder="1" applyAlignment="1">
      <alignment horizontal="center" vertical="center" wrapText="1"/>
    </xf>
    <xf numFmtId="3" fontId="33" fillId="29" borderId="57" xfId="113" applyNumberFormat="1" applyFont="1" applyFill="1" applyBorder="1" applyAlignment="1">
      <alignment horizontal="right" wrapText="1"/>
    </xf>
    <xf numFmtId="3" fontId="33" fillId="29" borderId="17" xfId="113" applyNumberFormat="1" applyFont="1" applyFill="1" applyBorder="1" applyAlignment="1">
      <alignment horizontal="right" wrapText="1"/>
    </xf>
    <xf numFmtId="0" fontId="31" fillId="29" borderId="17" xfId="113" applyFont="1" applyFill="1" applyBorder="1"/>
    <xf numFmtId="0" fontId="30" fillId="29" borderId="17" xfId="113" applyFont="1" applyFill="1" applyBorder="1"/>
    <xf numFmtId="0" fontId="32" fillId="29" borderId="17" xfId="113" applyFont="1" applyFill="1" applyBorder="1"/>
    <xf numFmtId="0" fontId="30" fillId="29" borderId="24" xfId="113" applyFont="1" applyFill="1" applyBorder="1"/>
    <xf numFmtId="3" fontId="21" fillId="29" borderId="17" xfId="113" applyNumberFormat="1" applyFont="1" applyFill="1" applyBorder="1" applyAlignment="1">
      <alignment vertical="center"/>
    </xf>
    <xf numFmtId="3" fontId="28" fillId="29" borderId="24" xfId="113" applyNumberFormat="1" applyFont="1" applyFill="1" applyBorder="1" applyAlignment="1">
      <alignment horizontal="right" wrapText="1"/>
    </xf>
    <xf numFmtId="3" fontId="26" fillId="0" borderId="16" xfId="110" applyNumberFormat="1" applyFont="1" applyFill="1" applyBorder="1" applyAlignment="1">
      <alignment horizontal="right" vertical="center" wrapText="1"/>
    </xf>
    <xf numFmtId="0" fontId="26" fillId="0" borderId="52" xfId="113" applyFont="1" applyFill="1" applyBorder="1" applyAlignment="1">
      <alignment horizontal="left" vertical="center" wrapText="1"/>
    </xf>
    <xf numFmtId="0" fontId="26" fillId="0" borderId="14" xfId="110" applyFont="1" applyBorder="1" applyAlignment="1">
      <alignment wrapText="1"/>
    </xf>
    <xf numFmtId="0" fontId="26" fillId="0" borderId="39" xfId="110" applyFont="1" applyFill="1" applyBorder="1" applyAlignment="1">
      <alignment wrapText="1"/>
    </xf>
    <xf numFmtId="0" fontId="26" fillId="0" borderId="39" xfId="106" applyFont="1" applyFill="1" applyBorder="1" applyAlignment="1">
      <alignment wrapText="1"/>
    </xf>
    <xf numFmtId="0" fontId="26" fillId="0" borderId="29" xfId="106" applyFont="1" applyFill="1" applyBorder="1" applyAlignment="1">
      <alignment wrapText="1"/>
    </xf>
    <xf numFmtId="0" fontId="26" fillId="0" borderId="14" xfId="106" applyFont="1" applyFill="1" applyBorder="1" applyAlignment="1">
      <alignment wrapText="1"/>
    </xf>
    <xf numFmtId="0" fontId="26" fillId="0" borderId="56" xfId="113" applyFont="1" applyFill="1" applyBorder="1" applyAlignment="1">
      <alignment horizontal="left" vertical="center" wrapText="1"/>
    </xf>
    <xf numFmtId="0" fontId="25" fillId="0" borderId="51" xfId="110" applyFont="1" applyFill="1" applyBorder="1" applyAlignment="1">
      <alignment wrapText="1"/>
    </xf>
    <xf numFmtId="0" fontId="26" fillId="0" borderId="0" xfId="110" applyFont="1" applyFill="1" applyBorder="1" applyAlignment="1">
      <alignment wrapText="1"/>
    </xf>
    <xf numFmtId="0" fontId="25" fillId="0" borderId="16" xfId="110" applyFont="1" applyFill="1" applyBorder="1" applyAlignment="1">
      <alignment horizontal="right" vertical="center" wrapText="1"/>
    </xf>
    <xf numFmtId="0" fontId="25" fillId="0" borderId="17" xfId="110" applyFont="1" applyFill="1" applyBorder="1" applyAlignment="1">
      <alignment horizontal="left" vertical="center" wrapText="1"/>
    </xf>
    <xf numFmtId="0" fontId="26" fillId="0" borderId="17" xfId="110" applyFont="1" applyBorder="1" applyAlignment="1">
      <alignment wrapText="1"/>
    </xf>
    <xf numFmtId="0" fontId="26" fillId="0" borderId="17" xfId="110" applyFont="1" applyFill="1" applyBorder="1" applyAlignment="1">
      <alignment wrapText="1"/>
    </xf>
    <xf numFmtId="0" fontId="26" fillId="0" borderId="17" xfId="106" applyFont="1" applyFill="1" applyBorder="1" applyAlignment="1">
      <alignment wrapText="1"/>
    </xf>
    <xf numFmtId="0" fontId="26" fillId="0" borderId="17" xfId="0" applyFont="1" applyBorder="1"/>
    <xf numFmtId="0" fontId="26" fillId="0" borderId="24" xfId="110" applyFont="1" applyFill="1" applyBorder="1" applyAlignment="1">
      <alignment wrapText="1"/>
    </xf>
    <xf numFmtId="0" fontId="25" fillId="0" borderId="37" xfId="110" applyFont="1" applyFill="1" applyBorder="1" applyAlignment="1">
      <alignment horizontal="left" vertical="center" wrapText="1"/>
    </xf>
    <xf numFmtId="3" fontId="25" fillId="0" borderId="40" xfId="113" applyNumberFormat="1" applyFont="1" applyFill="1" applyBorder="1" applyAlignment="1">
      <alignment horizontal="right" wrapText="1"/>
    </xf>
    <xf numFmtId="3" fontId="25" fillId="0" borderId="60" xfId="113" applyNumberFormat="1" applyFont="1" applyFill="1" applyBorder="1" applyAlignment="1">
      <alignment horizontal="right" wrapText="1"/>
    </xf>
    <xf numFmtId="0" fontId="25" fillId="0" borderId="33" xfId="113" applyFont="1" applyFill="1" applyBorder="1" applyAlignment="1">
      <alignment horizontal="center" vertical="center" wrapText="1"/>
    </xf>
    <xf numFmtId="3" fontId="26" fillId="0" borderId="61" xfId="104" applyNumberFormat="1" applyFont="1" applyBorder="1" applyAlignment="1">
      <alignment horizontal="right"/>
    </xf>
    <xf numFmtId="3" fontId="26" fillId="0" borderId="23" xfId="104" applyNumberFormat="1" applyFont="1" applyFill="1" applyBorder="1"/>
    <xf numFmtId="3" fontId="26" fillId="0" borderId="57" xfId="104" applyNumberFormat="1" applyFont="1" applyFill="1" applyBorder="1"/>
    <xf numFmtId="3" fontId="26" fillId="0" borderId="66" xfId="104" applyNumberFormat="1" applyFont="1" applyFill="1" applyBorder="1"/>
    <xf numFmtId="0" fontId="26" fillId="0" borderId="61" xfId="104" applyFont="1" applyBorder="1"/>
    <xf numFmtId="3" fontId="26" fillId="0" borderId="27" xfId="104" applyNumberFormat="1" applyFont="1" applyFill="1" applyBorder="1"/>
    <xf numFmtId="3" fontId="25" fillId="0" borderId="34" xfId="104" applyNumberFormat="1" applyFont="1" applyBorder="1" applyAlignment="1">
      <alignment horizontal="right"/>
    </xf>
    <xf numFmtId="0" fontId="26" fillId="0" borderId="50" xfId="105" applyFont="1" applyFill="1" applyBorder="1" applyAlignment="1">
      <alignment horizontal="left" vertical="center" wrapText="1"/>
    </xf>
    <xf numFmtId="3" fontId="26" fillId="0" borderId="16" xfId="104" applyNumberFormat="1" applyFont="1" applyFill="1" applyBorder="1"/>
    <xf numFmtId="3" fontId="26" fillId="0" borderId="26" xfId="104" applyNumberFormat="1" applyFont="1" applyFill="1" applyBorder="1"/>
    <xf numFmtId="3" fontId="25" fillId="0" borderId="26" xfId="104" applyNumberFormat="1" applyFont="1" applyFill="1" applyBorder="1"/>
    <xf numFmtId="3" fontId="25" fillId="0" borderId="16" xfId="104" applyNumberFormat="1" applyFont="1" applyBorder="1"/>
    <xf numFmtId="0" fontId="22" fillId="0" borderId="26" xfId="104" applyFont="1" applyBorder="1"/>
    <xf numFmtId="0" fontId="25" fillId="0" borderId="41" xfId="113" applyFont="1" applyBorder="1" applyAlignment="1">
      <alignment horizontal="center" vertical="center" wrapText="1"/>
    </xf>
    <xf numFmtId="3" fontId="26" fillId="30" borderId="51" xfId="98" applyNumberFormat="1" applyFont="1" applyFill="1" applyBorder="1" applyAlignment="1">
      <alignment wrapText="1"/>
    </xf>
    <xf numFmtId="3" fontId="26" fillId="0" borderId="16" xfId="106" applyNumberFormat="1" applyFont="1" applyBorder="1" applyAlignment="1">
      <alignment horizontal="right"/>
    </xf>
    <xf numFmtId="3" fontId="25" fillId="0" borderId="16" xfId="106" applyNumberFormat="1" applyFont="1" applyBorder="1" applyAlignment="1">
      <alignment horizontal="right"/>
    </xf>
    <xf numFmtId="0" fontId="26" fillId="30" borderId="17" xfId="112" applyFont="1" applyFill="1" applyBorder="1" applyAlignment="1">
      <alignment wrapText="1"/>
    </xf>
    <xf numFmtId="0" fontId="26" fillId="0" borderId="17" xfId="113" applyFont="1" applyFill="1" applyBorder="1" applyAlignment="1">
      <alignment horizontal="left" wrapText="1" indent="2"/>
    </xf>
    <xf numFmtId="0" fontId="26" fillId="0" borderId="17" xfId="113" applyFont="1" applyFill="1" applyBorder="1" applyAlignment="1">
      <alignment horizontal="left" vertical="center" wrapText="1" indent="2"/>
    </xf>
    <xf numFmtId="0" fontId="25" fillId="0" borderId="17" xfId="113" applyFont="1" applyFill="1" applyBorder="1" applyAlignment="1">
      <alignment horizontal="left" vertical="center" wrapText="1" indent="1"/>
    </xf>
    <xf numFmtId="0" fontId="26" fillId="0" borderId="17" xfId="113" applyFont="1" applyFill="1" applyBorder="1" applyAlignment="1">
      <alignment horizontal="left" vertical="center" wrapText="1"/>
    </xf>
    <xf numFmtId="0" fontId="26" fillId="0" borderId="17" xfId="113" applyFont="1" applyFill="1" applyBorder="1" applyAlignment="1">
      <alignment horizontal="left" vertical="center" wrapText="1" indent="1"/>
    </xf>
    <xf numFmtId="0" fontId="25" fillId="0" borderId="24" xfId="113" applyFont="1" applyFill="1" applyBorder="1" applyAlignment="1">
      <alignment horizontal="left" vertical="center" wrapText="1" indent="1"/>
    </xf>
    <xf numFmtId="3" fontId="25" fillId="0" borderId="19" xfId="113" applyNumberFormat="1" applyFont="1" applyFill="1" applyBorder="1" applyAlignment="1">
      <alignment horizontal="right" wrapText="1"/>
    </xf>
    <xf numFmtId="3" fontId="25" fillId="0" borderId="88" xfId="113" applyNumberFormat="1" applyFont="1" applyFill="1" applyBorder="1" applyAlignment="1">
      <alignment horizontal="right" wrapText="1"/>
    </xf>
    <xf numFmtId="0" fontId="25" fillId="0" borderId="38" xfId="112" applyFont="1" applyFill="1" applyBorder="1" applyAlignment="1">
      <alignment horizontal="left" vertical="center" wrapText="1"/>
    </xf>
    <xf numFmtId="0" fontId="26" fillId="0" borderId="17" xfId="112" applyFont="1" applyFill="1" applyBorder="1" applyAlignment="1">
      <alignment horizontal="left" vertical="center" wrapText="1"/>
    </xf>
    <xf numFmtId="0" fontId="26" fillId="0" borderId="17" xfId="113" applyFont="1" applyBorder="1" applyAlignment="1">
      <alignment wrapText="1"/>
    </xf>
    <xf numFmtId="0" fontId="26" fillId="30" borderId="24" xfId="112" applyFont="1" applyFill="1" applyBorder="1" applyAlignment="1">
      <alignment wrapText="1"/>
    </xf>
    <xf numFmtId="3" fontId="26" fillId="0" borderId="16" xfId="106" applyNumberFormat="1" applyFont="1" applyBorder="1"/>
    <xf numFmtId="0" fontId="25" fillId="0" borderId="25" xfId="113" applyFont="1" applyFill="1" applyBorder="1" applyAlignment="1">
      <alignment horizontal="left" vertical="center" wrapText="1" indent="1"/>
    </xf>
    <xf numFmtId="0" fontId="25" fillId="0" borderId="26" xfId="106" applyFont="1" applyBorder="1"/>
    <xf numFmtId="0" fontId="25" fillId="0" borderId="17" xfId="112" applyFont="1" applyFill="1" applyBorder="1" applyAlignment="1">
      <alignment horizontal="left" vertical="center" wrapText="1"/>
    </xf>
    <xf numFmtId="3" fontId="26" fillId="0" borderId="22" xfId="106" applyNumberFormat="1" applyFont="1" applyBorder="1"/>
    <xf numFmtId="3" fontId="25" fillId="0" borderId="16" xfId="106" applyNumberFormat="1" applyFont="1" applyBorder="1"/>
    <xf numFmtId="0" fontId="25" fillId="0" borderId="17" xfId="113" applyFont="1" applyFill="1" applyBorder="1" applyAlignment="1">
      <alignment horizontal="left" vertical="center" wrapText="1" indent="2"/>
    </xf>
    <xf numFmtId="0" fontId="26" fillId="0" borderId="17" xfId="113" applyFont="1" applyFill="1" applyBorder="1"/>
    <xf numFmtId="0" fontId="21" fillId="0" borderId="87" xfId="113" applyFont="1" applyBorder="1" applyAlignment="1">
      <alignment horizontal="center" vertical="center" wrapText="1"/>
    </xf>
    <xf numFmtId="4" fontId="28" fillId="29" borderId="23" xfId="113" applyNumberFormat="1" applyFont="1" applyFill="1" applyBorder="1" applyAlignment="1">
      <alignment horizontal="right" wrapText="1"/>
    </xf>
    <xf numFmtId="4" fontId="28" fillId="29" borderId="57" xfId="113" applyNumberFormat="1" applyFont="1" applyFill="1" applyBorder="1" applyAlignment="1">
      <alignment horizontal="right" wrapText="1"/>
    </xf>
    <xf numFmtId="3" fontId="21" fillId="29" borderId="55" xfId="113" applyNumberFormat="1" applyFont="1" applyFill="1" applyBorder="1" applyAlignment="1">
      <alignment horizontal="right" wrapText="1"/>
    </xf>
    <xf numFmtId="3" fontId="20" fillId="29" borderId="50" xfId="113" applyNumberFormat="1" applyFont="1" applyFill="1" applyBorder="1" applyAlignment="1">
      <alignment horizontal="right" wrapText="1"/>
    </xf>
    <xf numFmtId="3" fontId="21" fillId="29" borderId="50" xfId="113" applyNumberFormat="1" applyFont="1" applyFill="1" applyBorder="1" applyAlignment="1">
      <alignment horizontal="right" wrapText="1"/>
    </xf>
    <xf numFmtId="3" fontId="21" fillId="29" borderId="51" xfId="113" applyNumberFormat="1" applyFont="1" applyFill="1" applyBorder="1" applyAlignment="1">
      <alignment horizontal="right" wrapText="1"/>
    </xf>
    <xf numFmtId="3" fontId="21" fillId="0" borderId="41" xfId="113" applyNumberFormat="1" applyFont="1" applyBorder="1" applyAlignment="1">
      <alignment horizontal="right"/>
    </xf>
    <xf numFmtId="3" fontId="21" fillId="0" borderId="40" xfId="113" applyNumberFormat="1" applyFont="1" applyBorder="1" applyAlignment="1">
      <alignment horizontal="right"/>
    </xf>
    <xf numFmtId="3" fontId="20" fillId="0" borderId="76" xfId="113" applyNumberFormat="1" applyFont="1" applyBorder="1" applyAlignment="1">
      <alignment horizontal="right"/>
    </xf>
    <xf numFmtId="3" fontId="21" fillId="0" borderId="34" xfId="113" applyNumberFormat="1" applyFont="1" applyBorder="1" applyAlignment="1">
      <alignment horizontal="right"/>
    </xf>
    <xf numFmtId="3" fontId="20" fillId="0" borderId="50" xfId="113" applyNumberFormat="1" applyFont="1" applyFill="1" applyBorder="1"/>
    <xf numFmtId="3" fontId="21" fillId="29" borderId="27" xfId="113" applyNumberFormat="1" applyFont="1" applyFill="1" applyBorder="1" applyAlignment="1">
      <alignment horizontal="right" wrapText="1"/>
    </xf>
    <xf numFmtId="4" fontId="20" fillId="29" borderId="60" xfId="113" applyNumberFormat="1" applyFont="1" applyFill="1" applyBorder="1" applyAlignment="1">
      <alignment horizontal="right" wrapText="1"/>
    </xf>
    <xf numFmtId="3" fontId="20" fillId="29" borderId="41" xfId="113" applyNumberFormat="1" applyFont="1" applyFill="1" applyBorder="1"/>
    <xf numFmtId="0" fontId="26" fillId="31" borderId="28" xfId="0" applyFont="1" applyFill="1" applyBorder="1" applyAlignment="1">
      <alignment wrapText="1"/>
    </xf>
    <xf numFmtId="3" fontId="26" fillId="30" borderId="17" xfId="98" applyNumberFormat="1" applyFont="1" applyFill="1" applyBorder="1" applyAlignment="1">
      <alignment wrapText="1"/>
    </xf>
    <xf numFmtId="3" fontId="26" fillId="0" borderId="28" xfId="98" applyNumberFormat="1" applyFont="1" applyFill="1" applyBorder="1" applyAlignment="1">
      <alignment wrapText="1"/>
    </xf>
    <xf numFmtId="0" fontId="26" fillId="0" borderId="17" xfId="105" applyFont="1" applyFill="1" applyBorder="1" applyAlignment="1">
      <alignment horizontal="left" vertical="center" wrapText="1"/>
    </xf>
    <xf numFmtId="3" fontId="20" fillId="0" borderId="23" xfId="113" applyNumberFormat="1" applyFont="1" applyFill="1" applyBorder="1" applyAlignment="1">
      <alignment horizontal="right" wrapText="1"/>
    </xf>
    <xf numFmtId="3" fontId="20" fillId="0" borderId="16" xfId="113" applyNumberFormat="1" applyFont="1" applyFill="1" applyBorder="1" applyAlignment="1">
      <alignment horizontal="right" wrapText="1"/>
    </xf>
    <xf numFmtId="0" fontId="25" fillId="0" borderId="23" xfId="113" applyFont="1" applyBorder="1"/>
    <xf numFmtId="0" fontId="26" fillId="0" borderId="57" xfId="113" applyFont="1" applyBorder="1"/>
    <xf numFmtId="0" fontId="21" fillId="0" borderId="0" xfId="113" applyFont="1" applyBorder="1" applyAlignment="1">
      <alignment horizontal="center"/>
    </xf>
    <xf numFmtId="3" fontId="0" fillId="0" borderId="0" xfId="0" applyNumberFormat="1" applyFill="1"/>
    <xf numFmtId="0" fontId="25" fillId="0" borderId="0" xfId="110" applyFont="1" applyFill="1" applyBorder="1" applyAlignment="1">
      <alignment horizontal="center" wrapText="1"/>
    </xf>
    <xf numFmtId="3" fontId="22" fillId="29" borderId="57" xfId="113" applyNumberFormat="1" applyFont="1" applyFill="1" applyBorder="1"/>
    <xf numFmtId="3" fontId="20" fillId="29" borderId="27" xfId="113" applyNumberFormat="1" applyFont="1" applyFill="1" applyBorder="1" applyAlignment="1">
      <alignment horizontal="right" wrapText="1"/>
    </xf>
    <xf numFmtId="3" fontId="28" fillId="29" borderId="30" xfId="113" applyNumberFormat="1" applyFont="1" applyFill="1" applyBorder="1" applyAlignment="1">
      <alignment horizontal="right" wrapText="1"/>
    </xf>
    <xf numFmtId="3" fontId="22" fillId="29" borderId="30" xfId="113" applyNumberFormat="1" applyFont="1" applyFill="1" applyBorder="1" applyAlignment="1">
      <alignment horizontal="right" wrapText="1"/>
    </xf>
    <xf numFmtId="3" fontId="28" fillId="29" borderId="30" xfId="113" applyNumberFormat="1" applyFont="1" applyFill="1" applyBorder="1"/>
    <xf numFmtId="3" fontId="25" fillId="0" borderId="23" xfId="113" applyNumberFormat="1" applyFont="1" applyFill="1" applyBorder="1" applyAlignment="1">
      <alignment horizontal="right" wrapText="1"/>
    </xf>
    <xf numFmtId="3" fontId="26" fillId="0" borderId="23" xfId="113" applyNumberFormat="1" applyFont="1" applyFill="1" applyBorder="1" applyAlignment="1">
      <alignment horizontal="right" wrapText="1"/>
    </xf>
    <xf numFmtId="3" fontId="25" fillId="0" borderId="61" xfId="113" applyNumberFormat="1" applyFont="1" applyFill="1" applyBorder="1" applyAlignment="1">
      <alignment horizontal="right" wrapText="1"/>
    </xf>
    <xf numFmtId="3" fontId="26" fillId="0" borderId="23" xfId="106" applyNumberFormat="1" applyFont="1" applyBorder="1"/>
    <xf numFmtId="3" fontId="26" fillId="0" borderId="23" xfId="106" applyNumberFormat="1" applyFont="1" applyBorder="1" applyAlignment="1">
      <alignment horizontal="right"/>
    </xf>
    <xf numFmtId="3" fontId="26" fillId="0" borderId="23" xfId="113" applyNumberFormat="1" applyFont="1" applyBorder="1" applyAlignment="1">
      <alignment horizontal="right"/>
    </xf>
    <xf numFmtId="0" fontId="25" fillId="0" borderId="23" xfId="110" applyFont="1" applyFill="1" applyBorder="1" applyAlignment="1">
      <alignment horizontal="right" vertical="center" wrapText="1"/>
    </xf>
    <xf numFmtId="3" fontId="26" fillId="0" borderId="23" xfId="110" applyNumberFormat="1" applyFont="1" applyFill="1" applyBorder="1" applyAlignment="1">
      <alignment horizontal="right" vertical="center" wrapText="1"/>
    </xf>
    <xf numFmtId="3" fontId="21" fillId="0" borderId="65" xfId="113" applyNumberFormat="1" applyFont="1" applyBorder="1"/>
    <xf numFmtId="0" fontId="20" fillId="29" borderId="27" xfId="113" applyFont="1" applyFill="1" applyBorder="1"/>
    <xf numFmtId="0" fontId="20" fillId="0" borderId="23" xfId="113" applyFont="1" applyBorder="1"/>
    <xf numFmtId="0" fontId="20" fillId="0" borderId="23" xfId="113" applyFont="1" applyFill="1" applyBorder="1"/>
    <xf numFmtId="3" fontId="25" fillId="0" borderId="61" xfId="104" applyNumberFormat="1" applyFont="1" applyBorder="1" applyAlignment="1">
      <alignment horizontal="right"/>
    </xf>
    <xf numFmtId="3" fontId="26" fillId="0" borderId="27" xfId="104" applyNumberFormat="1" applyFont="1" applyFill="1" applyBorder="1" applyAlignment="1">
      <alignment horizontal="right"/>
    </xf>
    <xf numFmtId="3" fontId="37" fillId="0" borderId="61" xfId="113" applyNumberFormat="1" applyFont="1" applyBorder="1" applyAlignment="1">
      <alignment horizontal="right" wrapText="1"/>
    </xf>
    <xf numFmtId="3" fontId="26" fillId="0" borderId="23" xfId="106" applyNumberFormat="1" applyFont="1" applyBorder="1" applyAlignment="1">
      <alignment horizontal="right" wrapText="1"/>
    </xf>
    <xf numFmtId="3" fontId="25" fillId="0" borderId="23" xfId="104" applyNumberFormat="1" applyFont="1" applyFill="1" applyBorder="1" applyAlignment="1">
      <alignment horizontal="right"/>
    </xf>
    <xf numFmtId="3" fontId="20" fillId="0" borderId="27" xfId="106" applyNumberFormat="1" applyFont="1" applyBorder="1" applyAlignment="1">
      <alignment horizontal="right"/>
    </xf>
    <xf numFmtId="3" fontId="20" fillId="0" borderId="23" xfId="78" applyNumberFormat="1" applyFont="1" applyBorder="1" applyAlignment="1">
      <alignment horizontal="right" wrapText="1"/>
    </xf>
    <xf numFmtId="3" fontId="21" fillId="29" borderId="22" xfId="113" applyNumberFormat="1" applyFont="1" applyFill="1" applyBorder="1" applyAlignment="1">
      <alignment horizontal="right" wrapText="1"/>
    </xf>
    <xf numFmtId="3" fontId="21" fillId="29" borderId="60" xfId="113" applyNumberFormat="1" applyFont="1" applyFill="1" applyBorder="1" applyAlignment="1">
      <alignment horizontal="right" wrapText="1"/>
    </xf>
    <xf numFmtId="4" fontId="28" fillId="29" borderId="43" xfId="113" applyNumberFormat="1" applyFont="1" applyFill="1" applyBorder="1" applyAlignment="1">
      <alignment horizontal="right" wrapText="1"/>
    </xf>
    <xf numFmtId="0" fontId="22" fillId="29" borderId="55" xfId="113" applyFont="1" applyFill="1" applyBorder="1" applyAlignment="1">
      <alignment wrapText="1"/>
    </xf>
    <xf numFmtId="0" fontId="28" fillId="29" borderId="50" xfId="112" applyFont="1" applyFill="1" applyBorder="1" applyAlignment="1">
      <alignment wrapText="1"/>
    </xf>
    <xf numFmtId="0" fontId="28" fillId="29" borderId="50" xfId="113" applyFont="1" applyFill="1" applyBorder="1" applyAlignment="1">
      <alignment wrapText="1"/>
    </xf>
    <xf numFmtId="0" fontId="22" fillId="29" borderId="50" xfId="113" applyFont="1" applyFill="1" applyBorder="1" applyAlignment="1">
      <alignment wrapText="1"/>
    </xf>
    <xf numFmtId="164" fontId="28" fillId="29" borderId="50" xfId="113" applyNumberFormat="1" applyFont="1" applyFill="1" applyBorder="1" applyAlignment="1">
      <alignment wrapText="1"/>
    </xf>
    <xf numFmtId="0" fontId="28" fillId="29" borderId="50" xfId="112" applyFont="1" applyFill="1" applyBorder="1" applyAlignment="1">
      <alignment horizontal="left" wrapText="1"/>
    </xf>
    <xf numFmtId="0" fontId="28" fillId="29" borderId="51" xfId="112" applyFont="1" applyFill="1" applyBorder="1" applyAlignment="1">
      <alignment wrapText="1"/>
    </xf>
    <xf numFmtId="3" fontId="28" fillId="29" borderId="58" xfId="113" applyNumberFormat="1" applyFont="1" applyFill="1" applyBorder="1" applyAlignment="1">
      <alignment horizontal="right" wrapText="1"/>
    </xf>
    <xf numFmtId="4" fontId="28" fillId="29" borderId="30" xfId="113" applyNumberFormat="1" applyFont="1" applyFill="1" applyBorder="1" applyAlignment="1">
      <alignment horizontal="right" wrapText="1"/>
    </xf>
    <xf numFmtId="4" fontId="28" fillId="29" borderId="59" xfId="113" applyNumberFormat="1" applyFont="1" applyFill="1" applyBorder="1" applyAlignment="1">
      <alignment horizontal="right" wrapText="1"/>
    </xf>
    <xf numFmtId="3" fontId="25" fillId="0" borderId="57" xfId="110" applyNumberFormat="1" applyFont="1" applyFill="1" applyBorder="1" applyAlignment="1">
      <alignment horizontal="right"/>
    </xf>
    <xf numFmtId="3" fontId="26" fillId="0" borderId="60" xfId="110" applyNumberFormat="1" applyFont="1" applyFill="1" applyBorder="1" applyAlignment="1">
      <alignment horizontal="right" vertical="center" wrapText="1"/>
    </xf>
    <xf numFmtId="3" fontId="26" fillId="31" borderId="17" xfId="98" applyNumberFormat="1" applyFont="1" applyFill="1" applyBorder="1" applyAlignment="1">
      <alignment wrapText="1"/>
    </xf>
    <xf numFmtId="3" fontId="26" fillId="0" borderId="14" xfId="104" applyNumberFormat="1" applyFont="1" applyBorder="1" applyAlignment="1">
      <alignment wrapText="1"/>
    </xf>
    <xf numFmtId="3" fontId="26" fillId="0" borderId="13" xfId="104" applyNumberFormat="1" applyFont="1" applyBorder="1" applyAlignment="1">
      <alignment wrapText="1"/>
    </xf>
    <xf numFmtId="3" fontId="21" fillId="0" borderId="78" xfId="78" applyNumberFormat="1" applyFont="1" applyBorder="1" applyAlignment="1">
      <alignment horizontal="right"/>
    </xf>
    <xf numFmtId="0" fontId="22" fillId="29" borderId="50" xfId="112" applyFont="1" applyFill="1" applyBorder="1" applyAlignment="1">
      <alignment wrapText="1"/>
    </xf>
    <xf numFmtId="0" fontId="0" fillId="29" borderId="50" xfId="113" applyFont="1" applyFill="1" applyBorder="1" applyAlignment="1">
      <alignment wrapText="1"/>
    </xf>
    <xf numFmtId="0" fontId="28" fillId="0" borderId="50" xfId="113" applyFont="1" applyBorder="1"/>
    <xf numFmtId="0" fontId="28" fillId="0" borderId="69" xfId="113" applyFont="1" applyBorder="1"/>
    <xf numFmtId="3" fontId="28" fillId="29" borderId="17" xfId="113" applyNumberFormat="1" applyFont="1" applyFill="1" applyBorder="1"/>
    <xf numFmtId="3" fontId="22" fillId="29" borderId="17" xfId="113" applyNumberFormat="1" applyFont="1" applyFill="1" applyBorder="1"/>
    <xf numFmtId="4" fontId="28" fillId="29" borderId="75" xfId="113" applyNumberFormat="1" applyFont="1" applyFill="1" applyBorder="1" applyAlignment="1">
      <alignment horizontal="right" wrapText="1"/>
    </xf>
    <xf numFmtId="3" fontId="26" fillId="0" borderId="43" xfId="104" applyNumberFormat="1" applyFont="1" applyFill="1" applyBorder="1"/>
    <xf numFmtId="3" fontId="26" fillId="30" borderId="52" xfId="98" applyNumberFormat="1" applyFont="1" applyFill="1" applyBorder="1" applyAlignment="1">
      <alignment wrapText="1"/>
    </xf>
    <xf numFmtId="3" fontId="26" fillId="0" borderId="40" xfId="104" applyNumberFormat="1" applyFont="1" applyFill="1" applyBorder="1"/>
    <xf numFmtId="3" fontId="21" fillId="29" borderId="19" xfId="113" applyNumberFormat="1" applyFont="1" applyFill="1" applyBorder="1" applyAlignment="1">
      <alignment horizontal="right" wrapText="1"/>
    </xf>
    <xf numFmtId="3" fontId="21" fillId="29" borderId="40" xfId="113" applyNumberFormat="1" applyFont="1" applyFill="1" applyBorder="1" applyAlignment="1">
      <alignment horizontal="right" wrapText="1"/>
    </xf>
    <xf numFmtId="4" fontId="20" fillId="29" borderId="40" xfId="113" applyNumberFormat="1" applyFont="1" applyFill="1" applyBorder="1" applyAlignment="1">
      <alignment horizontal="right" wrapText="1"/>
    </xf>
    <xf numFmtId="3" fontId="0" fillId="0" borderId="16" xfId="0" applyNumberFormat="1" applyBorder="1"/>
    <xf numFmtId="3" fontId="0" fillId="0" borderId="0" xfId="0" applyNumberFormat="1"/>
    <xf numFmtId="3" fontId="20" fillId="0" borderId="16" xfId="0" applyNumberFormat="1" applyFont="1" applyBorder="1"/>
    <xf numFmtId="0" fontId="21" fillId="0" borderId="85" xfId="113" applyFont="1" applyBorder="1" applyAlignment="1">
      <alignment horizontal="center" vertical="center" wrapText="1"/>
    </xf>
    <xf numFmtId="0" fontId="21" fillId="0" borderId="74" xfId="113" applyFont="1" applyBorder="1" applyAlignment="1">
      <alignment horizontal="center" vertical="center" wrapText="1"/>
    </xf>
    <xf numFmtId="0" fontId="0" fillId="0" borderId="0" xfId="113" applyFont="1" applyAlignment="1">
      <alignment horizontal="center"/>
    </xf>
    <xf numFmtId="0" fontId="22" fillId="0" borderId="45" xfId="113" applyFont="1" applyBorder="1" applyAlignment="1">
      <alignment horizontal="center"/>
    </xf>
    <xf numFmtId="3" fontId="26" fillId="30" borderId="37" xfId="98" applyNumberFormat="1" applyFont="1" applyFill="1" applyBorder="1" applyAlignment="1">
      <alignment wrapText="1"/>
    </xf>
    <xf numFmtId="3" fontId="26" fillId="0" borderId="17" xfId="98" applyNumberFormat="1" applyFont="1" applyFill="1" applyBorder="1" applyAlignment="1">
      <alignment wrapText="1"/>
    </xf>
    <xf numFmtId="3" fontId="28" fillId="29" borderId="72" xfId="113" applyNumberFormat="1" applyFont="1" applyFill="1" applyBorder="1" applyAlignment="1">
      <alignment horizontal="right" wrapText="1"/>
    </xf>
    <xf numFmtId="0" fontId="20" fillId="0" borderId="17" xfId="107" applyNumberFormat="1" applyFont="1" applyFill="1" applyBorder="1" applyAlignment="1">
      <alignment horizontal="center"/>
    </xf>
    <xf numFmtId="3" fontId="20" fillId="0" borderId="22" xfId="107" applyNumberFormat="1" applyFont="1" applyFill="1" applyBorder="1"/>
    <xf numFmtId="0" fontId="20" fillId="0" borderId="17" xfId="107" applyFont="1" applyFill="1" applyBorder="1" applyAlignment="1">
      <alignment horizontal="center"/>
    </xf>
    <xf numFmtId="0" fontId="21" fillId="0" borderId="17" xfId="107" applyNumberFormat="1" applyFont="1" applyFill="1" applyBorder="1" applyAlignment="1">
      <alignment horizontal="center"/>
    </xf>
    <xf numFmtId="2" fontId="0" fillId="0" borderId="0" xfId="0" applyNumberFormat="1"/>
    <xf numFmtId="0" fontId="21" fillId="0" borderId="54" xfId="107" applyNumberFormat="1" applyFont="1" applyFill="1" applyBorder="1" applyAlignment="1">
      <alignment horizontal="center"/>
    </xf>
    <xf numFmtId="0" fontId="21" fillId="0" borderId="24" xfId="107" applyNumberFormat="1" applyFont="1" applyFill="1" applyBorder="1" applyAlignment="1">
      <alignment horizontal="center"/>
    </xf>
    <xf numFmtId="0" fontId="21" fillId="0" borderId="21" xfId="107" applyFont="1" applyBorder="1"/>
    <xf numFmtId="0" fontId="20" fillId="0" borderId="17" xfId="107" applyNumberFormat="1" applyFont="1" applyFill="1" applyBorder="1" applyAlignment="1">
      <alignment horizontal="center" wrapText="1"/>
    </xf>
    <xf numFmtId="0" fontId="21" fillId="0" borderId="17" xfId="107" applyFont="1" applyFill="1" applyBorder="1" applyAlignment="1">
      <alignment horizontal="center"/>
    </xf>
    <xf numFmtId="0" fontId="20" fillId="0" borderId="17" xfId="107" applyFont="1" applyBorder="1"/>
    <xf numFmtId="0" fontId="20" fillId="0" borderId="24" xfId="107" applyNumberFormat="1" applyFont="1" applyFill="1" applyBorder="1" applyAlignment="1">
      <alignment horizontal="center"/>
    </xf>
    <xf numFmtId="2" fontId="20" fillId="0" borderId="0" xfId="0" applyNumberFormat="1" applyFont="1"/>
    <xf numFmtId="3" fontId="21" fillId="29" borderId="22" xfId="107" applyNumberFormat="1" applyFont="1" applyFill="1" applyBorder="1" applyAlignment="1">
      <alignment horizontal="right"/>
    </xf>
    <xf numFmtId="3" fontId="21" fillId="0" borderId="22" xfId="0" applyNumberFormat="1" applyFont="1" applyBorder="1" applyAlignment="1">
      <alignment horizontal="right"/>
    </xf>
    <xf numFmtId="3" fontId="20" fillId="0" borderId="22" xfId="0" applyNumberFormat="1" applyFont="1" applyBorder="1" applyAlignment="1">
      <alignment horizontal="right"/>
    </xf>
    <xf numFmtId="3" fontId="20" fillId="29" borderId="22" xfId="107" applyNumberFormat="1" applyFont="1" applyFill="1" applyBorder="1" applyAlignment="1">
      <alignment horizontal="right"/>
    </xf>
    <xf numFmtId="3" fontId="20" fillId="0" borderId="22" xfId="107" applyNumberFormat="1" applyFont="1" applyBorder="1"/>
    <xf numFmtId="3" fontId="21" fillId="0" borderId="22" xfId="107" applyNumberFormat="1" applyFont="1" applyBorder="1"/>
    <xf numFmtId="3" fontId="21" fillId="29" borderId="22" xfId="107" applyNumberFormat="1" applyFont="1" applyFill="1" applyBorder="1"/>
    <xf numFmtId="2" fontId="23" fillId="0" borderId="16" xfId="107" applyNumberFormat="1" applyFont="1" applyFill="1" applyBorder="1"/>
    <xf numFmtId="2" fontId="21" fillId="0" borderId="16" xfId="107" applyNumberFormat="1" applyFont="1" applyBorder="1"/>
    <xf numFmtId="0" fontId="0" fillId="0" borderId="17" xfId="0" applyFont="1" applyBorder="1"/>
    <xf numFmtId="2" fontId="20" fillId="0" borderId="19" xfId="107" applyNumberFormat="1" applyFont="1" applyBorder="1"/>
    <xf numFmtId="3" fontId="25" fillId="0" borderId="44" xfId="104" applyNumberFormat="1" applyFont="1" applyBorder="1" applyAlignment="1">
      <alignment horizontal="right"/>
    </xf>
    <xf numFmtId="3" fontId="26" fillId="0" borderId="22" xfId="104" applyNumberFormat="1" applyFont="1" applyFill="1" applyBorder="1" applyAlignment="1">
      <alignment horizontal="right"/>
    </xf>
    <xf numFmtId="3" fontId="26" fillId="0" borderId="60" xfId="104" applyNumberFormat="1" applyFont="1" applyFill="1" applyBorder="1" applyAlignment="1">
      <alignment horizontal="right"/>
    </xf>
    <xf numFmtId="3" fontId="37" fillId="0" borderId="44" xfId="113" applyNumberFormat="1" applyFont="1" applyBorder="1" applyAlignment="1">
      <alignment horizontal="right" wrapText="1"/>
    </xf>
    <xf numFmtId="3" fontId="26" fillId="0" borderId="22" xfId="106" applyNumberFormat="1" applyFont="1" applyBorder="1" applyAlignment="1">
      <alignment horizontal="right" wrapText="1"/>
    </xf>
    <xf numFmtId="3" fontId="25" fillId="0" borderId="22" xfId="104" applyNumberFormat="1" applyFont="1" applyBorder="1" applyAlignment="1">
      <alignment horizontal="right"/>
    </xf>
    <xf numFmtId="3" fontId="21" fillId="29" borderId="90" xfId="113" applyNumberFormat="1" applyFont="1" applyFill="1" applyBorder="1" applyAlignment="1">
      <alignment horizontal="right" wrapText="1"/>
    </xf>
    <xf numFmtId="3" fontId="21" fillId="29" borderId="59" xfId="113" applyNumberFormat="1" applyFont="1" applyFill="1" applyBorder="1" applyAlignment="1">
      <alignment horizontal="right" wrapText="1"/>
    </xf>
    <xf numFmtId="3" fontId="20" fillId="29" borderId="60" xfId="113" applyNumberFormat="1" applyFont="1" applyFill="1" applyBorder="1" applyAlignment="1">
      <alignment horizontal="right" wrapText="1"/>
    </xf>
    <xf numFmtId="3" fontId="20" fillId="29" borderId="43" xfId="113" applyNumberFormat="1" applyFont="1" applyFill="1" applyBorder="1" applyAlignment="1">
      <alignment horizontal="right" wrapText="1"/>
    </xf>
    <xf numFmtId="3" fontId="20" fillId="0" borderId="65" xfId="113" applyNumberFormat="1" applyFont="1" applyBorder="1" applyAlignment="1">
      <alignment horizontal="right"/>
    </xf>
    <xf numFmtId="3" fontId="20" fillId="0" borderId="44" xfId="113" applyNumberFormat="1" applyFont="1" applyBorder="1" applyAlignment="1">
      <alignment horizontal="right"/>
    </xf>
    <xf numFmtId="3" fontId="26" fillId="0" borderId="22" xfId="113" applyNumberFormat="1" applyFont="1" applyFill="1" applyBorder="1" applyAlignment="1">
      <alignment horizontal="right" wrapText="1"/>
    </xf>
    <xf numFmtId="3" fontId="26" fillId="0" borderId="22" xfId="113" applyNumberFormat="1" applyFont="1" applyBorder="1" applyAlignment="1">
      <alignment horizontal="right"/>
    </xf>
    <xf numFmtId="3" fontId="25" fillId="0" borderId="43" xfId="113" applyNumberFormat="1" applyFont="1" applyFill="1" applyBorder="1" applyAlignment="1">
      <alignment horizontal="right" wrapText="1"/>
    </xf>
    <xf numFmtId="3" fontId="25" fillId="0" borderId="44" xfId="113" applyNumberFormat="1" applyFont="1" applyFill="1" applyBorder="1" applyAlignment="1">
      <alignment horizontal="right" wrapText="1"/>
    </xf>
    <xf numFmtId="3" fontId="0" fillId="0" borderId="0" xfId="0" applyNumberFormat="1" applyBorder="1"/>
    <xf numFmtId="3" fontId="20" fillId="0" borderId="0" xfId="0" applyNumberFormat="1" applyFont="1" applyBorder="1"/>
    <xf numFmtId="3" fontId="26" fillId="30" borderId="56" xfId="98" applyNumberFormat="1" applyFont="1" applyFill="1" applyBorder="1" applyAlignment="1">
      <alignment wrapText="1"/>
    </xf>
    <xf numFmtId="3" fontId="26" fillId="0" borderId="66" xfId="104" applyNumberFormat="1" applyFont="1" applyFill="1" applyBorder="1" applyAlignment="1">
      <alignment horizontal="right"/>
    </xf>
    <xf numFmtId="3" fontId="25" fillId="0" borderId="44" xfId="113" applyNumberFormat="1" applyFont="1" applyFill="1" applyBorder="1" applyAlignment="1">
      <alignment horizontal="right"/>
    </xf>
    <xf numFmtId="3" fontId="28" fillId="0" borderId="0" xfId="113" applyNumberFormat="1" applyFont="1"/>
    <xf numFmtId="0" fontId="28" fillId="0" borderId="0" xfId="113" applyFont="1" applyFill="1" applyBorder="1" applyAlignment="1">
      <alignment horizontal="left" vertical="center" wrapText="1" indent="2"/>
    </xf>
    <xf numFmtId="0" fontId="0" fillId="0" borderId="0" xfId="113" applyFont="1" applyFill="1" applyBorder="1" applyAlignment="1">
      <alignment horizontal="left" vertical="center" wrapText="1" indent="2"/>
    </xf>
    <xf numFmtId="3" fontId="20" fillId="0" borderId="0" xfId="106" applyNumberFormat="1" applyFont="1" applyBorder="1" applyAlignment="1">
      <alignment wrapText="1"/>
    </xf>
    <xf numFmtId="3" fontId="21" fillId="0" borderId="75" xfId="78" applyNumberFormat="1" applyFont="1" applyBorder="1" applyAlignment="1">
      <alignment horizontal="right"/>
    </xf>
    <xf numFmtId="3" fontId="20" fillId="0" borderId="24" xfId="106" applyNumberFormat="1" applyFont="1" applyBorder="1" applyAlignment="1">
      <alignment horizontal="right"/>
    </xf>
    <xf numFmtId="3" fontId="20" fillId="0" borderId="57" xfId="78" applyNumberFormat="1" applyFont="1" applyBorder="1" applyAlignment="1">
      <alignment horizontal="right"/>
    </xf>
    <xf numFmtId="3" fontId="25" fillId="0" borderId="22" xfId="113" applyNumberFormat="1" applyFont="1" applyBorder="1"/>
    <xf numFmtId="164" fontId="28" fillId="29" borderId="50" xfId="112" applyNumberFormat="1" applyFont="1" applyFill="1" applyBorder="1" applyAlignment="1">
      <alignment wrapText="1"/>
    </xf>
    <xf numFmtId="3" fontId="33" fillId="29" borderId="22" xfId="113" applyNumberFormat="1" applyFont="1" applyFill="1" applyBorder="1"/>
    <xf numFmtId="3" fontId="33" fillId="29" borderId="24" xfId="113" applyNumberFormat="1" applyFont="1" applyFill="1" applyBorder="1" applyAlignment="1">
      <alignment horizontal="right" wrapText="1"/>
    </xf>
    <xf numFmtId="3" fontId="33" fillId="29" borderId="43" xfId="113" applyNumberFormat="1" applyFont="1" applyFill="1" applyBorder="1" applyAlignment="1">
      <alignment horizontal="right" wrapText="1"/>
    </xf>
    <xf numFmtId="3" fontId="28" fillId="29" borderId="22" xfId="113" applyNumberFormat="1" applyFont="1" applyFill="1" applyBorder="1"/>
    <xf numFmtId="3" fontId="22" fillId="29" borderId="22" xfId="113" applyNumberFormat="1" applyFont="1" applyFill="1" applyBorder="1"/>
    <xf numFmtId="4" fontId="28" fillId="29" borderId="42" xfId="113" applyNumberFormat="1" applyFont="1" applyFill="1" applyBorder="1" applyAlignment="1">
      <alignment horizontal="right" wrapText="1"/>
    </xf>
    <xf numFmtId="3" fontId="22" fillId="29" borderId="90" xfId="113" applyNumberFormat="1" applyFont="1" applyFill="1" applyBorder="1" applyAlignment="1">
      <alignment horizontal="right" wrapText="1"/>
    </xf>
    <xf numFmtId="3" fontId="33" fillId="29" borderId="30" xfId="113" applyNumberFormat="1" applyFont="1" applyFill="1" applyBorder="1" applyAlignment="1">
      <alignment horizontal="right" wrapText="1"/>
    </xf>
    <xf numFmtId="0" fontId="31" fillId="29" borderId="30" xfId="113" applyFont="1" applyFill="1" applyBorder="1"/>
    <xf numFmtId="0" fontId="30" fillId="29" borderId="30" xfId="113" applyFont="1" applyFill="1" applyBorder="1"/>
    <xf numFmtId="0" fontId="32" fillId="29" borderId="30" xfId="113" applyFont="1" applyFill="1" applyBorder="1"/>
    <xf numFmtId="3" fontId="33" fillId="29" borderId="30" xfId="113" applyNumberFormat="1" applyFont="1" applyFill="1" applyBorder="1"/>
    <xf numFmtId="3" fontId="28" fillId="29" borderId="59" xfId="113" applyNumberFormat="1" applyFont="1" applyFill="1" applyBorder="1" applyAlignment="1">
      <alignment horizontal="right" wrapText="1"/>
    </xf>
    <xf numFmtId="3" fontId="22" fillId="29" borderId="30" xfId="113" applyNumberFormat="1" applyFont="1" applyFill="1" applyBorder="1"/>
    <xf numFmtId="3" fontId="28" fillId="29" borderId="50" xfId="113" applyNumberFormat="1" applyFont="1" applyFill="1" applyBorder="1"/>
    <xf numFmtId="3" fontId="22" fillId="29" borderId="43" xfId="113" applyNumberFormat="1" applyFont="1" applyFill="1" applyBorder="1"/>
    <xf numFmtId="4" fontId="28" fillId="29" borderId="50" xfId="113" applyNumberFormat="1" applyFont="1" applyFill="1" applyBorder="1" applyAlignment="1">
      <alignment horizontal="right" wrapText="1"/>
    </xf>
    <xf numFmtId="4" fontId="28" fillId="29" borderId="51" xfId="113" applyNumberFormat="1" applyFont="1" applyFill="1" applyBorder="1" applyAlignment="1">
      <alignment horizontal="right" wrapText="1"/>
    </xf>
    <xf numFmtId="0" fontId="26" fillId="0" borderId="28" xfId="106" applyFont="1" applyBorder="1" applyAlignment="1">
      <alignment horizontal="left" wrapText="1"/>
    </xf>
    <xf numFmtId="0" fontId="26" fillId="0" borderId="92" xfId="106" applyFont="1" applyFill="1" applyBorder="1" applyAlignment="1">
      <alignment horizontal="left" wrapText="1"/>
    </xf>
    <xf numFmtId="0" fontId="26" fillId="0" borderId="37" xfId="106" applyFont="1" applyFill="1" applyBorder="1" applyAlignment="1">
      <alignment horizontal="left" wrapText="1"/>
    </xf>
    <xf numFmtId="0" fontId="21" fillId="0" borderId="41" xfId="106" applyFont="1" applyBorder="1" applyAlignment="1">
      <alignment horizontal="center" vertical="center" wrapText="1"/>
    </xf>
    <xf numFmtId="0" fontId="21" fillId="29" borderId="22" xfId="113" applyFont="1" applyFill="1" applyBorder="1"/>
    <xf numFmtId="0" fontId="21" fillId="29" borderId="22" xfId="113" applyFont="1" applyFill="1" applyBorder="1" applyAlignment="1">
      <alignment vertical="center"/>
    </xf>
    <xf numFmtId="3" fontId="21" fillId="29" borderId="22" xfId="113" applyNumberFormat="1" applyFont="1" applyFill="1" applyBorder="1" applyAlignment="1">
      <alignment vertical="center"/>
    </xf>
    <xf numFmtId="3" fontId="21" fillId="0" borderId="73" xfId="113" applyNumberFormat="1" applyFont="1" applyBorder="1"/>
    <xf numFmtId="3" fontId="20" fillId="0" borderId="22" xfId="113" applyNumberFormat="1" applyFont="1" applyFill="1" applyBorder="1"/>
    <xf numFmtId="3" fontId="20" fillId="0" borderId="60" xfId="106" applyNumberFormat="1" applyFont="1" applyBorder="1" applyAlignment="1">
      <alignment horizontal="right"/>
    </xf>
    <xf numFmtId="3" fontId="20" fillId="0" borderId="75" xfId="113" applyNumberFormat="1" applyFont="1" applyBorder="1" applyAlignment="1">
      <alignment horizontal="right"/>
    </xf>
    <xf numFmtId="3" fontId="21" fillId="0" borderId="75" xfId="113" applyNumberFormat="1" applyFont="1" applyBorder="1"/>
    <xf numFmtId="3" fontId="21" fillId="0" borderId="42" xfId="113" applyNumberFormat="1" applyFont="1" applyBorder="1"/>
    <xf numFmtId="3" fontId="20" fillId="29" borderId="55" xfId="113" applyNumberFormat="1" applyFont="1" applyFill="1" applyBorder="1"/>
    <xf numFmtId="3" fontId="21" fillId="0" borderId="52" xfId="113" applyNumberFormat="1" applyFont="1" applyBorder="1" applyAlignment="1">
      <alignment horizontal="right"/>
    </xf>
    <xf numFmtId="3" fontId="21" fillId="0" borderId="64" xfId="113" applyNumberFormat="1" applyFont="1" applyBorder="1" applyAlignment="1">
      <alignment horizontal="right"/>
    </xf>
    <xf numFmtId="3" fontId="20" fillId="0" borderId="22" xfId="78" applyNumberFormat="1" applyFont="1" applyBorder="1" applyAlignment="1">
      <alignment horizontal="right"/>
    </xf>
    <xf numFmtId="3" fontId="20" fillId="0" borderId="44" xfId="78" applyNumberFormat="1" applyFont="1" applyBorder="1" applyAlignment="1">
      <alignment horizontal="right"/>
    </xf>
    <xf numFmtId="3" fontId="21" fillId="0" borderId="22" xfId="106" applyNumberFormat="1" applyFont="1" applyBorder="1" applyAlignment="1">
      <alignment horizontal="right"/>
    </xf>
    <xf numFmtId="3" fontId="21" fillId="0" borderId="22" xfId="106" applyNumberFormat="1" applyFont="1" applyBorder="1" applyAlignment="1">
      <alignment horizontal="right" wrapText="1"/>
    </xf>
    <xf numFmtId="3" fontId="21" fillId="0" borderId="43" xfId="106" applyNumberFormat="1" applyFont="1" applyBorder="1" applyAlignment="1">
      <alignment horizontal="right"/>
    </xf>
    <xf numFmtId="0" fontId="20" fillId="0" borderId="55" xfId="106" applyFont="1" applyBorder="1" applyAlignment="1">
      <alignment wrapText="1"/>
    </xf>
    <xf numFmtId="0" fontId="20" fillId="0" borderId="50" xfId="106" applyFont="1" applyBorder="1" applyAlignment="1">
      <alignment wrapText="1"/>
    </xf>
    <xf numFmtId="0" fontId="21" fillId="0" borderId="37" xfId="107" applyFont="1" applyFill="1" applyBorder="1"/>
    <xf numFmtId="2" fontId="20" fillId="0" borderId="40" xfId="107" applyNumberFormat="1" applyFont="1" applyFill="1" applyBorder="1"/>
    <xf numFmtId="3" fontId="20" fillId="29" borderId="40" xfId="107" applyNumberFormat="1" applyFont="1" applyFill="1" applyBorder="1"/>
    <xf numFmtId="0" fontId="20" fillId="0" borderId="17" xfId="0" applyFont="1" applyBorder="1" applyAlignment="1">
      <alignment wrapText="1"/>
    </xf>
    <xf numFmtId="0" fontId="20" fillId="0" borderId="37" xfId="0" applyFont="1" applyBorder="1" applyAlignment="1">
      <alignment wrapText="1"/>
    </xf>
    <xf numFmtId="0" fontId="20" fillId="0" borderId="40" xfId="107" applyFont="1" applyFill="1" applyBorder="1"/>
    <xf numFmtId="0" fontId="20" fillId="0" borderId="0" xfId="138" applyFont="1" applyBorder="1"/>
    <xf numFmtId="0" fontId="28" fillId="0" borderId="0" xfId="138" applyFont="1"/>
    <xf numFmtId="0" fontId="21" fillId="0" borderId="45" xfId="138" applyFont="1" applyBorder="1" applyAlignment="1">
      <alignment horizontal="center" wrapText="1"/>
    </xf>
    <xf numFmtId="0" fontId="25" fillId="0" borderId="33" xfId="138" applyFont="1" applyBorder="1" applyAlignment="1">
      <alignment horizontal="center" vertical="center" wrapText="1"/>
    </xf>
    <xf numFmtId="0" fontId="25" fillId="0" borderId="25" xfId="138" applyFont="1" applyBorder="1" applyAlignment="1">
      <alignment wrapText="1"/>
    </xf>
    <xf numFmtId="0" fontId="26" fillId="0" borderId="26" xfId="138" applyFont="1" applyBorder="1"/>
    <xf numFmtId="0" fontId="26" fillId="0" borderId="61" xfId="138" applyFont="1" applyBorder="1"/>
    <xf numFmtId="0" fontId="26" fillId="0" borderId="44" xfId="138" applyFont="1" applyBorder="1"/>
    <xf numFmtId="0" fontId="26" fillId="0" borderId="17" xfId="138" applyFont="1" applyBorder="1" applyAlignment="1">
      <alignment wrapText="1"/>
    </xf>
    <xf numFmtId="3" fontId="26" fillId="0" borderId="16" xfId="138" applyNumberFormat="1" applyFont="1" applyBorder="1"/>
    <xf numFmtId="3" fontId="26" fillId="0" borderId="22" xfId="138" applyNumberFormat="1" applyFont="1" applyBorder="1"/>
    <xf numFmtId="0" fontId="28" fillId="30" borderId="0" xfId="138" applyFont="1" applyFill="1"/>
    <xf numFmtId="0" fontId="20" fillId="31" borderId="17" xfId="138" applyFont="1" applyFill="1" applyBorder="1" applyAlignment="1">
      <alignment wrapText="1"/>
    </xf>
    <xf numFmtId="3" fontId="26" fillId="0" borderId="23" xfId="138" applyNumberFormat="1" applyFont="1" applyBorder="1"/>
    <xf numFmtId="0" fontId="25" fillId="0" borderId="17" xfId="138" applyFont="1" applyBorder="1" applyAlignment="1">
      <alignment wrapText="1"/>
    </xf>
    <xf numFmtId="3" fontId="25" fillId="0" borderId="16" xfId="138" applyNumberFormat="1" applyFont="1" applyBorder="1"/>
    <xf numFmtId="3" fontId="25" fillId="0" borderId="23" xfId="138" applyNumberFormat="1" applyFont="1" applyBorder="1"/>
    <xf numFmtId="3" fontId="25" fillId="0" borderId="22" xfId="138" applyNumberFormat="1" applyFont="1" applyBorder="1"/>
    <xf numFmtId="0" fontId="22" fillId="0" borderId="0" xfId="138" applyFont="1"/>
    <xf numFmtId="0" fontId="35" fillId="0" borderId="0" xfId="99" applyFont="1"/>
    <xf numFmtId="0" fontId="22" fillId="30" borderId="0" xfId="138" applyFont="1" applyFill="1"/>
    <xf numFmtId="0" fontId="26" fillId="0" borderId="24" xfId="138" applyFont="1" applyBorder="1" applyAlignment="1">
      <alignment wrapText="1"/>
    </xf>
    <xf numFmtId="3" fontId="26" fillId="0" borderId="19" xfId="138" applyNumberFormat="1" applyFont="1" applyBorder="1"/>
    <xf numFmtId="3" fontId="26" fillId="0" borderId="57" xfId="138" applyNumberFormat="1" applyFont="1" applyBorder="1"/>
    <xf numFmtId="3" fontId="26" fillId="0" borderId="43" xfId="138" applyNumberFormat="1" applyFont="1" applyBorder="1"/>
    <xf numFmtId="0" fontId="25" fillId="0" borderId="33" xfId="99" applyFont="1" applyBorder="1" applyAlignment="1">
      <alignment horizontal="center" vertical="center" wrapText="1"/>
    </xf>
    <xf numFmtId="0" fontId="28" fillId="0" borderId="0" xfId="99" applyFont="1"/>
    <xf numFmtId="0" fontId="28" fillId="33" borderId="0" xfId="99" applyFont="1" applyFill="1"/>
    <xf numFmtId="3" fontId="26" fillId="0" borderId="61" xfId="138" applyNumberFormat="1" applyFont="1" applyBorder="1"/>
    <xf numFmtId="3" fontId="26" fillId="0" borderId="44" xfId="138" applyNumberFormat="1" applyFont="1" applyBorder="1"/>
    <xf numFmtId="0" fontId="25" fillId="0" borderId="16" xfId="138" applyFont="1" applyBorder="1"/>
    <xf numFmtId="0" fontId="26" fillId="0" borderId="16" xfId="138" applyFont="1" applyBorder="1"/>
    <xf numFmtId="0" fontId="20" fillId="31" borderId="17" xfId="0" applyFont="1" applyFill="1" applyBorder="1" applyAlignment="1">
      <alignment wrapText="1"/>
    </xf>
    <xf numFmtId="3" fontId="25" fillId="0" borderId="23" xfId="113" applyNumberFormat="1" applyFont="1" applyBorder="1" applyAlignment="1">
      <alignment horizontal="center" vertical="center" wrapText="1"/>
    </xf>
    <xf numFmtId="3" fontId="25" fillId="0" borderId="22" xfId="113" applyNumberFormat="1" applyFont="1" applyBorder="1" applyAlignment="1">
      <alignment horizontal="center" vertical="center" wrapText="1"/>
    </xf>
    <xf numFmtId="0" fontId="25" fillId="0" borderId="17" xfId="139" applyFont="1" applyBorder="1" applyAlignment="1">
      <alignment wrapText="1"/>
    </xf>
    <xf numFmtId="3" fontId="26" fillId="0" borderId="23" xfId="139" applyNumberFormat="1" applyFont="1" applyBorder="1"/>
    <xf numFmtId="3" fontId="26" fillId="0" borderId="22" xfId="139" applyNumberFormat="1" applyFont="1" applyBorder="1"/>
    <xf numFmtId="3" fontId="25" fillId="0" borderId="23" xfId="139" applyNumberFormat="1" applyFont="1" applyBorder="1"/>
    <xf numFmtId="3" fontId="25" fillId="0" borderId="22" xfId="139" applyNumberFormat="1" applyFont="1" applyBorder="1"/>
    <xf numFmtId="0" fontId="25" fillId="0" borderId="24" xfId="138" applyFont="1" applyBorder="1" applyAlignment="1">
      <alignment wrapText="1"/>
    </xf>
    <xf numFmtId="3" fontId="25" fillId="0" borderId="19" xfId="138" applyNumberFormat="1" applyFont="1" applyBorder="1"/>
    <xf numFmtId="3" fontId="25" fillId="0" borderId="57" xfId="138" applyNumberFormat="1" applyFont="1" applyBorder="1"/>
    <xf numFmtId="3" fontId="25" fillId="0" borderId="43" xfId="138" applyNumberFormat="1" applyFont="1" applyBorder="1"/>
    <xf numFmtId="0" fontId="20" fillId="0" borderId="17" xfId="138" applyFont="1" applyBorder="1" applyAlignment="1">
      <alignment wrapText="1"/>
    </xf>
    <xf numFmtId="3" fontId="22" fillId="0" borderId="0" xfId="138" applyNumberFormat="1" applyFont="1"/>
    <xf numFmtId="0" fontId="25" fillId="0" borderId="0" xfId="138" applyFont="1"/>
    <xf numFmtId="0" fontId="26" fillId="0" borderId="0" xfId="138" applyFont="1"/>
    <xf numFmtId="3" fontId="26" fillId="0" borderId="0" xfId="138" applyNumberFormat="1" applyFont="1"/>
    <xf numFmtId="0" fontId="26" fillId="30" borderId="0" xfId="138" applyFont="1" applyFill="1"/>
    <xf numFmtId="3" fontId="26" fillId="30" borderId="0" xfId="138" applyNumberFormat="1" applyFont="1" applyFill="1"/>
    <xf numFmtId="3" fontId="35" fillId="0" borderId="0" xfId="138" applyNumberFormat="1" applyFont="1"/>
    <xf numFmtId="3" fontId="20" fillId="0" borderId="0" xfId="106" applyNumberFormat="1" applyFont="1"/>
    <xf numFmtId="0" fontId="21" fillId="0" borderId="18" xfId="106" applyFont="1" applyBorder="1" applyAlignment="1">
      <alignment wrapText="1"/>
    </xf>
    <xf numFmtId="3" fontId="21" fillId="0" borderId="94" xfId="113" applyNumberFormat="1" applyFont="1" applyBorder="1" applyAlignment="1">
      <alignment horizontal="center" vertical="center" wrapText="1"/>
    </xf>
    <xf numFmtId="3" fontId="42" fillId="0" borderId="94" xfId="113" applyNumberFormat="1" applyFont="1" applyBorder="1" applyAlignment="1">
      <alignment horizontal="center" vertical="center" wrapText="1"/>
    </xf>
    <xf numFmtId="3" fontId="42" fillId="0" borderId="83" xfId="113" applyNumberFormat="1" applyFont="1" applyBorder="1" applyAlignment="1">
      <alignment horizontal="center" vertical="center" wrapText="1"/>
    </xf>
    <xf numFmtId="0" fontId="21" fillId="0" borderId="91" xfId="106" applyFont="1" applyBorder="1" applyAlignment="1">
      <alignment wrapText="1"/>
    </xf>
    <xf numFmtId="0" fontId="20" fillId="29" borderId="95" xfId="113" applyFont="1" applyFill="1" applyBorder="1" applyAlignment="1">
      <alignment wrapText="1"/>
    </xf>
    <xf numFmtId="3" fontId="20" fillId="0" borderId="96" xfId="106" applyNumberFormat="1" applyFont="1" applyBorder="1"/>
    <xf numFmtId="3" fontId="20" fillId="0" borderId="97" xfId="106" applyNumberFormat="1" applyFont="1" applyBorder="1"/>
    <xf numFmtId="0" fontId="20" fillId="0" borderId="98" xfId="106" applyFont="1" applyBorder="1" applyAlignment="1">
      <alignment wrapText="1"/>
    </xf>
    <xf numFmtId="3" fontId="20" fillId="0" borderId="99" xfId="106" applyNumberFormat="1" applyFont="1" applyBorder="1"/>
    <xf numFmtId="0" fontId="20" fillId="29" borderId="100" xfId="113" applyFont="1" applyFill="1" applyBorder="1" applyAlignment="1">
      <alignment wrapText="1"/>
    </xf>
    <xf numFmtId="0" fontId="20" fillId="0" borderId="101" xfId="106" applyFont="1" applyBorder="1" applyAlignment="1">
      <alignment wrapText="1"/>
    </xf>
    <xf numFmtId="3" fontId="20" fillId="0" borderId="102" xfId="106" applyNumberFormat="1" applyFont="1" applyBorder="1"/>
    <xf numFmtId="3" fontId="20" fillId="0" borderId="96" xfId="106" applyNumberFormat="1" applyFont="1" applyBorder="1" applyAlignment="1">
      <alignment wrapText="1"/>
    </xf>
    <xf numFmtId="0" fontId="20" fillId="0" borderId="95" xfId="106" applyFont="1" applyBorder="1" applyAlignment="1">
      <alignment wrapText="1"/>
    </xf>
    <xf numFmtId="0" fontId="20" fillId="0" borderId="100" xfId="106" applyFont="1" applyBorder="1" applyAlignment="1">
      <alignment wrapText="1"/>
    </xf>
    <xf numFmtId="3" fontId="20" fillId="0" borderId="103" xfId="106" applyNumberFormat="1" applyFont="1" applyBorder="1"/>
    <xf numFmtId="0" fontId="20" fillId="29" borderId="100" xfId="112" applyFont="1" applyFill="1" applyBorder="1" applyAlignment="1">
      <alignment wrapText="1"/>
    </xf>
    <xf numFmtId="164" fontId="20" fillId="0" borderId="101" xfId="106" applyNumberFormat="1" applyFont="1" applyBorder="1" applyAlignment="1">
      <alignment wrapText="1"/>
    </xf>
    <xf numFmtId="0" fontId="20" fillId="0" borderId="104" xfId="106" applyFont="1" applyBorder="1" applyAlignment="1">
      <alignment wrapText="1"/>
    </xf>
    <xf numFmtId="3" fontId="20" fillId="0" borderId="12" xfId="106" applyNumberFormat="1" applyFont="1" applyBorder="1"/>
    <xf numFmtId="0" fontId="21" fillId="0" borderId="100" xfId="106" applyFont="1" applyBorder="1" applyAlignment="1">
      <alignment wrapText="1"/>
    </xf>
    <xf numFmtId="3" fontId="21" fillId="0" borderId="103" xfId="106" applyNumberFormat="1" applyFont="1" applyBorder="1"/>
    <xf numFmtId="3" fontId="21" fillId="0" borderId="105" xfId="106" applyNumberFormat="1" applyFont="1" applyBorder="1"/>
    <xf numFmtId="0" fontId="21" fillId="0" borderId="106" xfId="106" applyFont="1" applyBorder="1" applyAlignment="1">
      <alignment wrapText="1"/>
    </xf>
    <xf numFmtId="3" fontId="21" fillId="0" borderId="22" xfId="106" applyNumberFormat="1" applyFont="1" applyBorder="1"/>
    <xf numFmtId="0" fontId="21" fillId="0" borderId="101" xfId="106" applyFont="1" applyBorder="1" applyAlignment="1">
      <alignment wrapText="1"/>
    </xf>
    <xf numFmtId="3" fontId="21" fillId="0" borderId="96" xfId="106" applyNumberFormat="1" applyFont="1" applyBorder="1"/>
    <xf numFmtId="3" fontId="21" fillId="0" borderId="97" xfId="106" applyNumberFormat="1" applyFont="1" applyBorder="1"/>
    <xf numFmtId="0" fontId="21" fillId="0" borderId="95" xfId="106" applyFont="1" applyBorder="1" applyAlignment="1">
      <alignment wrapText="1"/>
    </xf>
    <xf numFmtId="3" fontId="21" fillId="0" borderId="102" xfId="106" applyNumberFormat="1" applyFont="1" applyBorder="1"/>
    <xf numFmtId="3" fontId="21" fillId="0" borderId="96" xfId="106" applyNumberFormat="1" applyFont="1" applyBorder="1" applyAlignment="1">
      <alignment wrapText="1"/>
    </xf>
    <xf numFmtId="3" fontId="21" fillId="0" borderId="97" xfId="106" applyNumberFormat="1" applyFont="1" applyBorder="1" applyAlignment="1">
      <alignment wrapText="1"/>
    </xf>
    <xf numFmtId="0" fontId="20" fillId="0" borderId="107" xfId="106" applyFont="1" applyBorder="1" applyAlignment="1">
      <alignment wrapText="1"/>
    </xf>
    <xf numFmtId="3" fontId="21" fillId="0" borderId="12" xfId="106" applyNumberFormat="1" applyFont="1" applyBorder="1"/>
    <xf numFmtId="3" fontId="20" fillId="0" borderId="108" xfId="106" applyNumberFormat="1" applyFont="1" applyBorder="1"/>
    <xf numFmtId="3" fontId="20" fillId="0" borderId="109" xfId="106" applyNumberFormat="1" applyFont="1" applyBorder="1"/>
    <xf numFmtId="164" fontId="20" fillId="0" borderId="100" xfId="106" applyNumberFormat="1" applyFont="1" applyBorder="1" applyAlignment="1">
      <alignment wrapText="1"/>
    </xf>
    <xf numFmtId="3" fontId="20" fillId="0" borderId="16" xfId="106" applyNumberFormat="1" applyFont="1" applyBorder="1" applyAlignment="1">
      <alignment wrapText="1"/>
    </xf>
    <xf numFmtId="3" fontId="20" fillId="0" borderId="110" xfId="106" applyNumberFormat="1" applyFont="1" applyBorder="1"/>
    <xf numFmtId="164" fontId="20" fillId="0" borderId="106" xfId="106" applyNumberFormat="1" applyFont="1" applyBorder="1" applyAlignment="1">
      <alignment wrapText="1"/>
    </xf>
    <xf numFmtId="3" fontId="20" fillId="0" borderId="11" xfId="106" applyNumberFormat="1" applyFont="1" applyBorder="1"/>
    <xf numFmtId="3" fontId="20" fillId="0" borderId="62" xfId="106" applyNumberFormat="1" applyFont="1" applyBorder="1" applyAlignment="1">
      <alignment wrapText="1"/>
    </xf>
    <xf numFmtId="3" fontId="20" fillId="0" borderId="79" xfId="106" applyNumberFormat="1" applyFont="1" applyBorder="1" applyAlignment="1">
      <alignment wrapText="1"/>
    </xf>
    <xf numFmtId="3" fontId="21" fillId="0" borderId="35" xfId="106" applyNumberFormat="1" applyFont="1" applyBorder="1"/>
    <xf numFmtId="3" fontId="21" fillId="0" borderId="83" xfId="106" applyNumberFormat="1" applyFont="1" applyBorder="1"/>
    <xf numFmtId="3" fontId="21" fillId="0" borderId="94" xfId="106" applyNumberFormat="1" applyFont="1" applyBorder="1"/>
    <xf numFmtId="0" fontId="21" fillId="0" borderId="18" xfId="106" applyFont="1" applyBorder="1" applyAlignment="1">
      <alignment horizontal="center" vertical="center" wrapText="1"/>
    </xf>
    <xf numFmtId="0" fontId="21" fillId="0" borderId="111" xfId="106" applyFont="1" applyBorder="1" applyAlignment="1">
      <alignment horizontal="center" vertical="center" wrapText="1"/>
    </xf>
    <xf numFmtId="3" fontId="20" fillId="0" borderId="27" xfId="106" applyNumberFormat="1" applyFont="1" applyBorder="1"/>
    <xf numFmtId="0" fontId="20" fillId="0" borderId="25" xfId="106" applyFont="1" applyBorder="1" applyAlignment="1">
      <alignment wrapText="1"/>
    </xf>
    <xf numFmtId="3" fontId="20" fillId="0" borderId="26" xfId="106" applyNumberFormat="1" applyFont="1" applyBorder="1"/>
    <xf numFmtId="3" fontId="20" fillId="0" borderId="44" xfId="106" applyNumberFormat="1" applyFont="1" applyBorder="1"/>
    <xf numFmtId="3" fontId="20" fillId="0" borderId="23" xfId="106" applyNumberFormat="1" applyFont="1" applyBorder="1"/>
    <xf numFmtId="0" fontId="20" fillId="0" borderId="17" xfId="106" applyFont="1" applyBorder="1" applyAlignment="1">
      <alignment wrapText="1"/>
    </xf>
    <xf numFmtId="3" fontId="20" fillId="0" borderId="16" xfId="106" applyNumberFormat="1" applyFont="1" applyBorder="1"/>
    <xf numFmtId="3" fontId="20" fillId="0" borderId="22" xfId="106" applyNumberFormat="1" applyFont="1" applyBorder="1"/>
    <xf numFmtId="3" fontId="20" fillId="0" borderId="23" xfId="106" applyNumberFormat="1" applyFont="1" applyBorder="1" applyAlignment="1">
      <alignment wrapText="1"/>
    </xf>
    <xf numFmtId="0" fontId="20" fillId="0" borderId="17" xfId="106" applyFont="1" applyFill="1" applyBorder="1" applyAlignment="1">
      <alignment wrapText="1"/>
    </xf>
    <xf numFmtId="3" fontId="20" fillId="0" borderId="16" xfId="106" applyNumberFormat="1" applyFont="1" applyFill="1" applyBorder="1"/>
    <xf numFmtId="3" fontId="20" fillId="0" borderId="112" xfId="106" applyNumberFormat="1" applyFont="1" applyBorder="1"/>
    <xf numFmtId="3" fontId="21" fillId="0" borderId="23" xfId="106" applyNumberFormat="1" applyFont="1" applyBorder="1"/>
    <xf numFmtId="0" fontId="21" fillId="0" borderId="17" xfId="106" applyFont="1" applyBorder="1" applyAlignment="1">
      <alignment wrapText="1"/>
    </xf>
    <xf numFmtId="3" fontId="21" fillId="0" borderId="16" xfId="106" applyNumberFormat="1" applyFont="1" applyBorder="1"/>
    <xf numFmtId="3" fontId="21" fillId="0" borderId="11" xfId="106" applyNumberFormat="1" applyFont="1" applyBorder="1"/>
    <xf numFmtId="3" fontId="20" fillId="0" borderId="113" xfId="106" applyNumberFormat="1" applyFont="1" applyBorder="1"/>
    <xf numFmtId="3" fontId="20" fillId="0" borderId="66" xfId="106" applyNumberFormat="1" applyFont="1" applyBorder="1"/>
    <xf numFmtId="0" fontId="20" fillId="0" borderId="24" xfId="106" applyFont="1" applyBorder="1" applyAlignment="1">
      <alignment wrapText="1"/>
    </xf>
    <xf numFmtId="3" fontId="20" fillId="0" borderId="19" xfId="106" applyNumberFormat="1" applyFont="1" applyBorder="1"/>
    <xf numFmtId="3" fontId="20" fillId="0" borderId="43" xfId="106" applyNumberFormat="1" applyFont="1" applyBorder="1"/>
    <xf numFmtId="3" fontId="21" fillId="0" borderId="64" xfId="106" applyNumberFormat="1" applyFont="1" applyBorder="1"/>
    <xf numFmtId="0" fontId="21" fillId="0" borderId="114" xfId="106" applyFont="1" applyBorder="1" applyAlignment="1">
      <alignment wrapText="1"/>
    </xf>
    <xf numFmtId="3" fontId="21" fillId="0" borderId="115" xfId="106" applyNumberFormat="1" applyFont="1" applyBorder="1"/>
    <xf numFmtId="3" fontId="21" fillId="0" borderId="116" xfId="106" applyNumberFormat="1" applyFont="1" applyBorder="1"/>
    <xf numFmtId="3" fontId="21" fillId="0" borderId="117" xfId="106" applyNumberFormat="1" applyFont="1" applyBorder="1"/>
    <xf numFmtId="3" fontId="21" fillId="0" borderId="0" xfId="106" applyNumberFormat="1" applyFont="1" applyBorder="1"/>
    <xf numFmtId="3" fontId="20" fillId="0" borderId="60" xfId="106" applyNumberFormat="1" applyFont="1" applyBorder="1"/>
    <xf numFmtId="3" fontId="20" fillId="0" borderId="40" xfId="106" applyNumberFormat="1" applyFont="1" applyBorder="1"/>
    <xf numFmtId="3" fontId="20" fillId="0" borderId="105" xfId="106" applyNumberFormat="1" applyFont="1" applyBorder="1"/>
    <xf numFmtId="3" fontId="20" fillId="0" borderId="103" xfId="106" applyNumberFormat="1" applyFont="1" applyBorder="1" applyAlignment="1">
      <alignment wrapText="1"/>
    </xf>
    <xf numFmtId="3" fontId="20" fillId="0" borderId="105" xfId="106" applyNumberFormat="1" applyFont="1" applyBorder="1" applyAlignment="1">
      <alignment wrapText="1"/>
    </xf>
    <xf numFmtId="3" fontId="20" fillId="0" borderId="73" xfId="106" applyNumberFormat="1" applyFont="1" applyBorder="1"/>
    <xf numFmtId="0" fontId="21" fillId="0" borderId="107" xfId="106" applyFont="1" applyBorder="1" applyAlignment="1">
      <alignment wrapText="1"/>
    </xf>
    <xf numFmtId="3" fontId="21" fillId="0" borderId="118" xfId="106" applyNumberFormat="1" applyFont="1" applyBorder="1"/>
    <xf numFmtId="0" fontId="28" fillId="0" borderId="0" xfId="141" applyFont="1"/>
    <xf numFmtId="0" fontId="26" fillId="0" borderId="0" xfId="141" applyFont="1"/>
    <xf numFmtId="0" fontId="25" fillId="0" borderId="0" xfId="141" applyFont="1" applyAlignment="1">
      <alignment horizontal="center" wrapText="1"/>
    </xf>
    <xf numFmtId="0" fontId="20" fillId="0" borderId="0" xfId="141" applyFont="1"/>
    <xf numFmtId="0" fontId="21" fillId="0" borderId="103" xfId="141" applyFont="1" applyBorder="1" applyAlignment="1">
      <alignment horizontal="center" vertical="center" wrapText="1"/>
    </xf>
    <xf numFmtId="0" fontId="22" fillId="0" borderId="102" xfId="113" applyFont="1" applyBorder="1" applyAlignment="1">
      <alignment horizontal="center" vertical="center" wrapText="1"/>
    </xf>
    <xf numFmtId="0" fontId="43" fillId="0" borderId="102" xfId="113" applyFont="1" applyBorder="1" applyAlignment="1">
      <alignment horizontal="center" vertical="center" wrapText="1"/>
    </xf>
    <xf numFmtId="0" fontId="43" fillId="0" borderId="103" xfId="113" applyFont="1" applyBorder="1" applyAlignment="1">
      <alignment horizontal="center" vertical="center" wrapText="1"/>
    </xf>
    <xf numFmtId="0" fontId="43" fillId="0" borderId="16" xfId="113" applyFont="1" applyBorder="1" applyAlignment="1">
      <alignment horizontal="center" vertical="center" wrapText="1"/>
    </xf>
    <xf numFmtId="0" fontId="21" fillId="0" borderId="119" xfId="141" applyFont="1" applyBorder="1" applyAlignment="1">
      <alignment horizontal="center" vertical="center" wrapText="1"/>
    </xf>
    <xf numFmtId="0" fontId="28" fillId="0" borderId="0" xfId="141" applyFont="1" applyAlignment="1">
      <alignment wrapText="1"/>
    </xf>
    <xf numFmtId="0" fontId="21" fillId="0" borderId="12" xfId="141" applyFont="1" applyBorder="1" applyAlignment="1">
      <alignment wrapText="1"/>
    </xf>
    <xf numFmtId="0" fontId="21" fillId="29" borderId="102" xfId="142" applyFont="1" applyFill="1" applyBorder="1" applyAlignment="1">
      <alignment horizontal="center" vertical="center" wrapText="1"/>
    </xf>
    <xf numFmtId="0" fontId="21" fillId="29" borderId="103" xfId="142" applyFont="1" applyFill="1" applyBorder="1" applyAlignment="1">
      <alignment horizontal="center" vertical="center" wrapText="1"/>
    </xf>
    <xf numFmtId="0" fontId="21" fillId="29" borderId="16" xfId="142" applyFont="1" applyFill="1" applyBorder="1" applyAlignment="1">
      <alignment horizontal="center" vertical="center" wrapText="1"/>
    </xf>
    <xf numFmtId="0" fontId="21" fillId="0" borderId="119" xfId="141" applyFont="1" applyBorder="1" applyAlignment="1">
      <alignment wrapText="1"/>
    </xf>
    <xf numFmtId="0" fontId="20" fillId="0" borderId="102" xfId="141" applyFont="1" applyBorder="1" applyAlignment="1">
      <alignment wrapText="1"/>
    </xf>
    <xf numFmtId="0" fontId="20" fillId="0" borderId="103" xfId="141" applyFont="1" applyBorder="1" applyAlignment="1">
      <alignment wrapText="1"/>
    </xf>
    <xf numFmtId="0" fontId="20" fillId="0" borderId="16" xfId="141" applyFont="1" applyBorder="1" applyAlignment="1">
      <alignment wrapText="1"/>
    </xf>
    <xf numFmtId="0" fontId="20" fillId="0" borderId="103" xfId="113" applyFont="1" applyBorder="1" applyAlignment="1">
      <alignment horizontal="left" vertical="center" wrapText="1"/>
    </xf>
    <xf numFmtId="3" fontId="20" fillId="0" borderId="102" xfId="141" applyNumberFormat="1" applyFont="1" applyBorder="1" applyAlignment="1">
      <alignment vertical="center"/>
    </xf>
    <xf numFmtId="3" fontId="20" fillId="29" borderId="102" xfId="142" applyNumberFormat="1" applyFont="1" applyFill="1" applyBorder="1" applyAlignment="1">
      <alignment horizontal="right" vertical="center" wrapText="1"/>
    </xf>
    <xf numFmtId="3" fontId="20" fillId="29" borderId="103" xfId="142" applyNumberFormat="1" applyFont="1" applyFill="1" applyBorder="1" applyAlignment="1">
      <alignment horizontal="right" vertical="center" wrapText="1"/>
    </xf>
    <xf numFmtId="3" fontId="20" fillId="29" borderId="16" xfId="142" applyNumberFormat="1" applyFont="1" applyFill="1" applyBorder="1" applyAlignment="1">
      <alignment horizontal="right" vertical="center" wrapText="1"/>
    </xf>
    <xf numFmtId="0" fontId="20" fillId="0" borderId="104" xfId="140" applyFont="1" applyBorder="1" applyAlignment="1">
      <alignment vertical="center" wrapText="1"/>
    </xf>
    <xf numFmtId="3" fontId="20" fillId="0" borderId="103" xfId="141" applyNumberFormat="1" applyFont="1" applyBorder="1" applyAlignment="1">
      <alignment vertical="center"/>
    </xf>
    <xf numFmtId="3" fontId="20" fillId="0" borderId="16" xfId="141" applyNumberFormat="1" applyFont="1" applyBorder="1" applyAlignment="1">
      <alignment vertical="center"/>
    </xf>
    <xf numFmtId="3" fontId="28" fillId="0" borderId="0" xfId="141" applyNumberFormat="1" applyFont="1" applyAlignment="1">
      <alignment vertical="center"/>
    </xf>
    <xf numFmtId="0" fontId="28" fillId="0" borderId="0" xfId="141" applyFont="1" applyAlignment="1">
      <alignment vertical="center"/>
    </xf>
    <xf numFmtId="0" fontId="20" fillId="0" borderId="103" xfId="140" applyFont="1" applyBorder="1" applyAlignment="1">
      <alignment wrapText="1"/>
    </xf>
    <xf numFmtId="0" fontId="20" fillId="0" borderId="96" xfId="106" applyFont="1" applyBorder="1"/>
    <xf numFmtId="0" fontId="20" fillId="0" borderId="119" xfId="140" applyFont="1" applyBorder="1" applyAlignment="1">
      <alignment wrapText="1"/>
    </xf>
    <xf numFmtId="3" fontId="20" fillId="0" borderId="102" xfId="141" applyNumberFormat="1" applyFont="1" applyBorder="1"/>
    <xf numFmtId="3" fontId="20" fillId="0" borderId="103" xfId="141" applyNumberFormat="1" applyFont="1" applyBorder="1"/>
    <xf numFmtId="3" fontId="20" fillId="0" borderId="16" xfId="141" applyNumberFormat="1" applyFont="1" applyBorder="1"/>
    <xf numFmtId="0" fontId="20" fillId="0" borderId="96" xfId="140" applyFont="1" applyBorder="1" applyAlignment="1">
      <alignment wrapText="1"/>
    </xf>
    <xf numFmtId="0" fontId="20" fillId="29" borderId="102" xfId="113" applyFont="1" applyFill="1" applyBorder="1" applyAlignment="1">
      <alignment wrapText="1"/>
    </xf>
    <xf numFmtId="3" fontId="20" fillId="29" borderId="102" xfId="142" applyNumberFormat="1" applyFont="1" applyFill="1" applyBorder="1" applyAlignment="1">
      <alignment horizontal="right" wrapText="1"/>
    </xf>
    <xf numFmtId="0" fontId="20" fillId="0" borderId="104" xfId="140" applyFont="1" applyBorder="1" applyAlignment="1">
      <alignment wrapText="1"/>
    </xf>
    <xf numFmtId="0" fontId="20" fillId="0" borderId="103" xfId="113" applyFont="1" applyBorder="1" applyAlignment="1">
      <alignment horizontal="left" wrapText="1"/>
    </xf>
    <xf numFmtId="3" fontId="20" fillId="29" borderId="103" xfId="142" applyNumberFormat="1" applyFont="1" applyFill="1" applyBorder="1" applyAlignment="1">
      <alignment horizontal="right" wrapText="1"/>
    </xf>
    <xf numFmtId="3" fontId="20" fillId="29" borderId="16" xfId="142" applyNumberFormat="1" applyFont="1" applyFill="1" applyBorder="1" applyAlignment="1">
      <alignment horizontal="right" wrapText="1"/>
    </xf>
    <xf numFmtId="0" fontId="20" fillId="29" borderId="103" xfId="113" applyFont="1" applyFill="1" applyBorder="1" applyAlignment="1">
      <alignment wrapText="1"/>
    </xf>
    <xf numFmtId="3" fontId="20" fillId="0" borderId="113" xfId="141" applyNumberFormat="1" applyFont="1" applyBorder="1"/>
    <xf numFmtId="3" fontId="20" fillId="0" borderId="62" xfId="141" applyNumberFormat="1" applyFont="1" applyBorder="1"/>
    <xf numFmtId="0" fontId="21" fillId="0" borderId="103" xfId="141" applyFont="1" applyBorder="1" applyAlignment="1">
      <alignment wrapText="1"/>
    </xf>
    <xf numFmtId="3" fontId="21" fillId="0" borderId="102" xfId="141" applyNumberFormat="1" applyFont="1" applyBorder="1"/>
    <xf numFmtId="3" fontId="21" fillId="0" borderId="103" xfId="141" applyNumberFormat="1" applyFont="1" applyBorder="1"/>
    <xf numFmtId="0" fontId="21" fillId="0" borderId="16" xfId="141" applyFont="1" applyBorder="1" applyAlignment="1">
      <alignment wrapText="1"/>
    </xf>
    <xf numFmtId="3" fontId="21" fillId="0" borderId="16" xfId="141" applyNumberFormat="1" applyFont="1" applyBorder="1"/>
    <xf numFmtId="0" fontId="22" fillId="0" borderId="0" xfId="141" applyFont="1"/>
    <xf numFmtId="3" fontId="20" fillId="0" borderId="23" xfId="141" applyNumberFormat="1" applyFont="1" applyBorder="1"/>
    <xf numFmtId="3" fontId="21" fillId="0" borderId="23" xfId="141" applyNumberFormat="1" applyFont="1" applyBorder="1"/>
    <xf numFmtId="0" fontId="21" fillId="0" borderId="96" xfId="141" applyFont="1" applyBorder="1" applyAlignment="1">
      <alignment wrapText="1"/>
    </xf>
    <xf numFmtId="0" fontId="21" fillId="0" borderId="0" xfId="141" applyFont="1" applyBorder="1"/>
    <xf numFmtId="0" fontId="21" fillId="0" borderId="23" xfId="141" applyFont="1" applyBorder="1"/>
    <xf numFmtId="0" fontId="21" fillId="0" borderId="16" xfId="141" applyFont="1" applyBorder="1"/>
    <xf numFmtId="0" fontId="20" fillId="0" borderId="16" xfId="141" applyFont="1" applyBorder="1"/>
    <xf numFmtId="0" fontId="20" fillId="0" borderId="16" xfId="140" applyFont="1" applyBorder="1" applyAlignment="1">
      <alignment wrapText="1"/>
    </xf>
    <xf numFmtId="3" fontId="28" fillId="0" borderId="0" xfId="141" applyNumberFormat="1" applyFont="1"/>
    <xf numFmtId="0" fontId="20" fillId="0" borderId="102" xfId="106" applyFont="1" applyBorder="1" applyAlignment="1">
      <alignment wrapText="1"/>
    </xf>
    <xf numFmtId="0" fontId="20" fillId="0" borderId="16" xfId="140" applyFont="1" applyFill="1" applyBorder="1" applyAlignment="1">
      <alignment wrapText="1"/>
    </xf>
    <xf numFmtId="0" fontId="20" fillId="0" borderId="96" xfId="141" applyFont="1" applyBorder="1" applyAlignment="1">
      <alignment wrapText="1"/>
    </xf>
    <xf numFmtId="0" fontId="20" fillId="0" borderId="16" xfId="106" applyFont="1" applyBorder="1" applyAlignment="1">
      <alignment wrapText="1"/>
    </xf>
    <xf numFmtId="3" fontId="22" fillId="0" borderId="0" xfId="141" applyNumberFormat="1" applyFont="1"/>
    <xf numFmtId="3" fontId="20" fillId="31" borderId="103" xfId="141" applyNumberFormat="1" applyFont="1" applyFill="1" applyBorder="1"/>
    <xf numFmtId="3" fontId="20" fillId="0" borderId="23" xfId="141" applyNumberFormat="1" applyFont="1" applyFill="1" applyBorder="1"/>
    <xf numFmtId="3" fontId="20" fillId="0" borderId="0" xfId="141" applyNumberFormat="1" applyFont="1"/>
    <xf numFmtId="0" fontId="21" fillId="0" borderId="102" xfId="141" applyFont="1" applyBorder="1" applyAlignment="1">
      <alignment horizontal="center" vertical="center" wrapText="1"/>
    </xf>
    <xf numFmtId="0" fontId="21" fillId="0" borderId="101" xfId="141" applyFont="1" applyBorder="1" applyAlignment="1">
      <alignment horizontal="center" vertical="center" wrapText="1"/>
    </xf>
    <xf numFmtId="0" fontId="0" fillId="0" borderId="0" xfId="141" applyFont="1" applyAlignment="1">
      <alignment wrapText="1"/>
    </xf>
    <xf numFmtId="0" fontId="20" fillId="0" borderId="102" xfId="141" applyFont="1" applyBorder="1"/>
    <xf numFmtId="0" fontId="20" fillId="0" borderId="103" xfId="141" applyFont="1" applyBorder="1"/>
    <xf numFmtId="0" fontId="0" fillId="0" borderId="0" xfId="141" applyFont="1"/>
    <xf numFmtId="0" fontId="20" fillId="0" borderId="119" xfId="141" applyFont="1" applyBorder="1" applyAlignment="1">
      <alignment wrapText="1"/>
    </xf>
    <xf numFmtId="0" fontId="21" fillId="0" borderId="119" xfId="141" applyFont="1" applyBorder="1"/>
    <xf numFmtId="0" fontId="20" fillId="0" borderId="0" xfId="141" applyFont="1" applyBorder="1"/>
    <xf numFmtId="3" fontId="20" fillId="0" borderId="102" xfId="141" applyNumberFormat="1" applyFont="1" applyBorder="1" applyAlignment="1">
      <alignment wrapText="1"/>
    </xf>
    <xf numFmtId="3" fontId="20" fillId="0" borderId="103" xfId="141" applyNumberFormat="1" applyFont="1" applyBorder="1" applyAlignment="1">
      <alignment wrapText="1"/>
    </xf>
    <xf numFmtId="0" fontId="20" fillId="0" borderId="102" xfId="140" applyFont="1" applyBorder="1" applyAlignment="1">
      <alignment wrapText="1"/>
    </xf>
    <xf numFmtId="0" fontId="20" fillId="0" borderId="119" xfId="140" applyFont="1" applyFill="1" applyBorder="1" applyAlignment="1">
      <alignment wrapText="1"/>
    </xf>
    <xf numFmtId="0" fontId="20" fillId="0" borderId="99" xfId="141" applyFont="1" applyBorder="1" applyAlignment="1">
      <alignment wrapText="1"/>
    </xf>
    <xf numFmtId="0" fontId="21" fillId="0" borderId="102" xfId="141" applyFont="1" applyBorder="1" applyAlignment="1">
      <alignment wrapText="1"/>
    </xf>
    <xf numFmtId="0" fontId="21" fillId="0" borderId="99" xfId="141" applyFont="1" applyBorder="1" applyAlignment="1">
      <alignment wrapText="1"/>
    </xf>
    <xf numFmtId="0" fontId="21" fillId="0" borderId="104" xfId="141" applyFont="1" applyBorder="1" applyAlignment="1">
      <alignment wrapText="1"/>
    </xf>
    <xf numFmtId="0" fontId="22" fillId="0" borderId="0" xfId="141" applyFont="1" applyBorder="1" applyAlignment="1">
      <alignment wrapText="1"/>
    </xf>
    <xf numFmtId="3" fontId="22" fillId="0" borderId="0" xfId="141" applyNumberFormat="1" applyFont="1" applyBorder="1"/>
    <xf numFmtId="0" fontId="22" fillId="0" borderId="0" xfId="141" applyFont="1" applyBorder="1"/>
    <xf numFmtId="0" fontId="21" fillId="0" borderId="113" xfId="141" applyFont="1" applyBorder="1" applyAlignment="1">
      <alignment wrapText="1"/>
    </xf>
    <xf numFmtId="0" fontId="21" fillId="0" borderId="101" xfId="141" applyFont="1" applyBorder="1" applyAlignment="1">
      <alignment wrapText="1"/>
    </xf>
    <xf numFmtId="0" fontId="20" fillId="0" borderId="102" xfId="113" applyFont="1" applyBorder="1" applyAlignment="1">
      <alignment horizontal="left" wrapText="1"/>
    </xf>
    <xf numFmtId="0" fontId="20" fillId="0" borderId="101" xfId="140" applyFont="1" applyBorder="1" applyAlignment="1">
      <alignment wrapText="1"/>
    </xf>
    <xf numFmtId="0" fontId="20" fillId="0" borderId="98" xfId="140" applyFont="1" applyBorder="1" applyAlignment="1">
      <alignment wrapText="1"/>
    </xf>
    <xf numFmtId="0" fontId="20" fillId="0" borderId="99" xfId="140" applyFont="1" applyBorder="1" applyAlignment="1">
      <alignment wrapText="1"/>
    </xf>
    <xf numFmtId="0" fontId="20" fillId="0" borderId="113" xfId="140" applyFont="1" applyBorder="1" applyAlignment="1">
      <alignment wrapText="1"/>
    </xf>
    <xf numFmtId="0" fontId="20" fillId="0" borderId="101" xfId="141" applyFont="1" applyBorder="1" applyAlignment="1">
      <alignment wrapText="1"/>
    </xf>
    <xf numFmtId="3" fontId="21" fillId="0" borderId="102" xfId="141" applyNumberFormat="1" applyFont="1" applyBorder="1" applyAlignment="1">
      <alignment wrapText="1"/>
    </xf>
    <xf numFmtId="3" fontId="21" fillId="0" borderId="103" xfId="141" applyNumberFormat="1" applyFont="1" applyBorder="1" applyAlignment="1">
      <alignment wrapText="1"/>
    </xf>
    <xf numFmtId="3" fontId="21" fillId="0" borderId="16" xfId="141" applyNumberFormat="1" applyFont="1" applyBorder="1" applyAlignment="1">
      <alignment wrapText="1"/>
    </xf>
    <xf numFmtId="0" fontId="26" fillId="31" borderId="0" xfId="0" applyFont="1" applyFill="1" applyAlignment="1">
      <alignment wrapText="1"/>
    </xf>
    <xf numFmtId="0" fontId="26" fillId="31" borderId="0" xfId="0" applyFont="1" applyFill="1"/>
    <xf numFmtId="0" fontId="28" fillId="0" borderId="0" xfId="0" applyFont="1"/>
    <xf numFmtId="0" fontId="26" fillId="31" borderId="0" xfId="0" applyFont="1" applyFill="1" applyAlignment="1">
      <alignment horizontal="left" wrapText="1"/>
    </xf>
    <xf numFmtId="0" fontId="26" fillId="31" borderId="0" xfId="0" applyFont="1" applyFill="1" applyAlignment="1">
      <alignment horizontal="right"/>
    </xf>
    <xf numFmtId="0" fontId="26" fillId="31" borderId="113" xfId="0" applyFont="1" applyFill="1" applyBorder="1" applyAlignment="1">
      <alignment horizontal="center" wrapText="1"/>
    </xf>
    <xf numFmtId="3" fontId="25" fillId="31" borderId="113" xfId="0" applyNumberFormat="1" applyFont="1" applyFill="1" applyBorder="1" applyAlignment="1">
      <alignment horizontal="left" wrapText="1"/>
    </xf>
    <xf numFmtId="3" fontId="25" fillId="31" borderId="113" xfId="0" applyNumberFormat="1" applyFont="1" applyFill="1" applyBorder="1" applyAlignment="1">
      <alignment horizontal="right" wrapText="1"/>
    </xf>
    <xf numFmtId="3" fontId="0" fillId="0" borderId="12" xfId="0" applyNumberFormat="1" applyFont="1" applyFill="1" applyBorder="1" applyAlignment="1">
      <alignment horizontal="right" wrapText="1"/>
    </xf>
    <xf numFmtId="0" fontId="0" fillId="0" borderId="0" xfId="0" applyFont="1" applyBorder="1"/>
    <xf numFmtId="3" fontId="0" fillId="0" borderId="0" xfId="0" applyNumberFormat="1" applyFont="1"/>
    <xf numFmtId="3" fontId="25" fillId="31" borderId="102" xfId="0" applyNumberFormat="1" applyFont="1" applyFill="1" applyBorder="1" applyAlignment="1">
      <alignment horizontal="left" wrapText="1"/>
    </xf>
    <xf numFmtId="3" fontId="25" fillId="31" borderId="102" xfId="0" applyNumberFormat="1" applyFont="1" applyFill="1" applyBorder="1" applyAlignment="1">
      <alignment horizontal="right" wrapText="1"/>
    </xf>
    <xf numFmtId="0" fontId="26" fillId="31" borderId="99" xfId="0" applyFont="1" applyFill="1" applyBorder="1" applyAlignment="1">
      <alignment wrapText="1"/>
    </xf>
    <xf numFmtId="3" fontId="26" fillId="31" borderId="99" xfId="0" applyNumberFormat="1" applyFont="1" applyFill="1" applyBorder="1"/>
    <xf numFmtId="3" fontId="26" fillId="31" borderId="102" xfId="0" applyNumberFormat="1" applyFont="1" applyFill="1" applyBorder="1"/>
    <xf numFmtId="0" fontId="26" fillId="31" borderId="102" xfId="0" applyFont="1" applyFill="1" applyBorder="1" applyAlignment="1">
      <alignment wrapText="1"/>
    </xf>
    <xf numFmtId="0" fontId="26" fillId="31" borderId="120" xfId="0" applyFont="1" applyFill="1" applyBorder="1" applyAlignment="1">
      <alignment wrapText="1"/>
    </xf>
    <xf numFmtId="0" fontId="44" fillId="31" borderId="102" xfId="0" applyFont="1" applyFill="1" applyBorder="1" applyAlignment="1">
      <alignment wrapText="1"/>
    </xf>
    <xf numFmtId="0" fontId="45" fillId="31" borderId="21" xfId="113" applyFont="1" applyFill="1" applyBorder="1"/>
    <xf numFmtId="0" fontId="26" fillId="0" borderId="0" xfId="0" applyFont="1"/>
    <xf numFmtId="0" fontId="46" fillId="31" borderId="102" xfId="0" applyFont="1" applyFill="1" applyBorder="1" applyAlignment="1">
      <alignment wrapText="1"/>
    </xf>
    <xf numFmtId="0" fontId="26" fillId="0" borderId="99" xfId="0" applyFont="1" applyFill="1" applyBorder="1" applyAlignment="1">
      <alignment wrapText="1"/>
    </xf>
    <xf numFmtId="3" fontId="26" fillId="0" borderId="102" xfId="0" applyNumberFormat="1" applyFont="1" applyFill="1" applyBorder="1"/>
    <xf numFmtId="3" fontId="0" fillId="0" borderId="0" xfId="0" applyNumberFormat="1" applyFont="1" applyFill="1"/>
    <xf numFmtId="0" fontId="0" fillId="0" borderId="0" xfId="0" applyFont="1" applyFill="1"/>
    <xf numFmtId="0" fontId="28" fillId="0" borderId="0" xfId="0" applyFont="1" applyFill="1"/>
    <xf numFmtId="0" fontId="26" fillId="0" borderId="102" xfId="0" applyFont="1" applyFill="1" applyBorder="1" applyAlignment="1">
      <alignment wrapText="1"/>
    </xf>
    <xf numFmtId="3" fontId="44" fillId="31" borderId="102" xfId="0" applyNumberFormat="1" applyFont="1" applyFill="1" applyBorder="1"/>
    <xf numFmtId="3" fontId="33" fillId="0" borderId="0" xfId="0" applyNumberFormat="1" applyFont="1"/>
    <xf numFmtId="0" fontId="33" fillId="0" borderId="0" xfId="0" applyFont="1"/>
    <xf numFmtId="0" fontId="44" fillId="0" borderId="102" xfId="0" applyFont="1" applyFill="1" applyBorder="1" applyAlignment="1">
      <alignment wrapText="1"/>
    </xf>
    <xf numFmtId="3" fontId="44" fillId="0" borderId="102" xfId="0" applyNumberFormat="1" applyFont="1" applyFill="1" applyBorder="1"/>
    <xf numFmtId="3" fontId="33" fillId="0" borderId="0" xfId="0" applyNumberFormat="1" applyFont="1" applyFill="1"/>
    <xf numFmtId="0" fontId="33" fillId="0" borderId="0" xfId="0" applyFont="1" applyFill="1"/>
    <xf numFmtId="0" fontId="25" fillId="31" borderId="102" xfId="0" applyFont="1" applyFill="1" applyBorder="1" applyAlignment="1">
      <alignment wrapText="1"/>
    </xf>
    <xf numFmtId="3" fontId="25" fillId="31" borderId="102" xfId="0" applyNumberFormat="1" applyFont="1" applyFill="1" applyBorder="1"/>
    <xf numFmtId="0" fontId="26" fillId="31" borderId="102" xfId="0" applyFont="1" applyFill="1" applyBorder="1" applyAlignment="1">
      <alignment vertical="center" wrapText="1"/>
    </xf>
    <xf numFmtId="0" fontId="26" fillId="31" borderId="102" xfId="0" applyFont="1" applyFill="1" applyBorder="1" applyAlignment="1">
      <alignment vertical="center"/>
    </xf>
    <xf numFmtId="3" fontId="26" fillId="31" borderId="102" xfId="0" applyNumberFormat="1" applyFont="1" applyFill="1" applyBorder="1" applyAlignment="1">
      <alignment vertical="center"/>
    </xf>
    <xf numFmtId="3" fontId="0" fillId="0" borderId="0" xfId="0" applyNumberFormat="1" applyFont="1" applyAlignment="1">
      <alignment vertical="center"/>
    </xf>
    <xf numFmtId="0" fontId="0" fillId="0" borderId="0" xfId="0" applyFont="1" applyAlignment="1">
      <alignment vertical="center"/>
    </xf>
    <xf numFmtId="0" fontId="26" fillId="0" borderId="102" xfId="0" applyFont="1" applyFill="1" applyBorder="1" applyAlignment="1">
      <alignment vertical="center" wrapText="1"/>
    </xf>
    <xf numFmtId="3" fontId="26" fillId="0" borderId="102" xfId="0" applyNumberFormat="1" applyFont="1" applyFill="1" applyBorder="1" applyAlignment="1">
      <alignment vertical="center"/>
    </xf>
    <xf numFmtId="3" fontId="0" fillId="0" borderId="0" xfId="0" applyNumberFormat="1" applyFont="1" applyFill="1" applyAlignment="1">
      <alignment vertical="center"/>
    </xf>
    <xf numFmtId="0" fontId="0" fillId="0" borderId="0" xfId="0" applyFont="1" applyFill="1" applyAlignment="1">
      <alignment vertical="center"/>
    </xf>
    <xf numFmtId="3" fontId="0" fillId="0" borderId="12" xfId="0" applyNumberFormat="1" applyFont="1" applyFill="1" applyBorder="1"/>
    <xf numFmtId="3" fontId="26" fillId="0" borderId="99" xfId="0" applyNumberFormat="1" applyFont="1" applyFill="1" applyBorder="1"/>
    <xf numFmtId="3" fontId="44" fillId="31" borderId="113" xfId="0" applyNumberFormat="1" applyFont="1" applyFill="1" applyBorder="1"/>
    <xf numFmtId="3" fontId="25" fillId="31" borderId="103" xfId="0" applyNumberFormat="1" applyFont="1" applyFill="1" applyBorder="1"/>
    <xf numFmtId="3" fontId="25" fillId="31" borderId="16" xfId="0" applyNumberFormat="1" applyFont="1" applyFill="1" applyBorder="1"/>
    <xf numFmtId="3" fontId="0" fillId="31" borderId="0" xfId="0" applyNumberFormat="1" applyFont="1" applyFill="1" applyBorder="1"/>
    <xf numFmtId="3" fontId="25" fillId="31" borderId="99" xfId="0" applyNumberFormat="1" applyFont="1" applyFill="1" applyBorder="1"/>
    <xf numFmtId="0" fontId="25" fillId="31" borderId="113" xfId="0" applyFont="1" applyFill="1" applyBorder="1" applyAlignment="1">
      <alignment wrapText="1"/>
    </xf>
    <xf numFmtId="3" fontId="25" fillId="31" borderId="113" xfId="0" applyNumberFormat="1" applyFont="1" applyFill="1" applyBorder="1"/>
    <xf numFmtId="0" fontId="28" fillId="31" borderId="0" xfId="0" applyFont="1" applyFill="1" applyAlignment="1">
      <alignment wrapText="1"/>
    </xf>
    <xf numFmtId="0" fontId="28" fillId="31" borderId="0" xfId="0" applyFont="1" applyFill="1"/>
    <xf numFmtId="3" fontId="28" fillId="31" borderId="0" xfId="0" applyNumberFormat="1" applyFont="1" applyFill="1"/>
    <xf numFmtId="0" fontId="28" fillId="31" borderId="0" xfId="143" applyFont="1" applyFill="1" applyBorder="1" applyAlignment="1">
      <alignment wrapText="1"/>
    </xf>
    <xf numFmtId="3" fontId="21" fillId="0" borderId="0" xfId="143" applyNumberFormat="1" applyFont="1" applyBorder="1" applyAlignment="1">
      <alignment horizontal="center"/>
    </xf>
    <xf numFmtId="3" fontId="22" fillId="0" borderId="0" xfId="143" applyNumberFormat="1" applyFont="1"/>
    <xf numFmtId="0" fontId="28" fillId="0" borderId="0" xfId="143" applyFont="1" applyAlignment="1">
      <alignment wrapText="1"/>
    </xf>
    <xf numFmtId="0" fontId="28" fillId="0" borderId="0" xfId="143" applyFont="1"/>
    <xf numFmtId="0" fontId="36" fillId="34" borderId="0" xfId="143" applyFont="1" applyFill="1" applyAlignment="1">
      <alignment wrapText="1"/>
    </xf>
    <xf numFmtId="0" fontId="28" fillId="31" borderId="0" xfId="143" applyFont="1" applyFill="1" applyAlignment="1">
      <alignment wrapText="1"/>
    </xf>
    <xf numFmtId="3" fontId="36" fillId="0" borderId="0" xfId="143" applyNumberFormat="1" applyFont="1" applyFill="1" applyAlignment="1"/>
    <xf numFmtId="0" fontId="36" fillId="0" borderId="0" xfId="143" applyFont="1" applyFill="1" applyBorder="1" applyAlignment="1">
      <alignment wrapText="1"/>
    </xf>
    <xf numFmtId="0" fontId="36" fillId="0" borderId="0" xfId="143" applyFont="1" applyFill="1" applyBorder="1" applyAlignment="1"/>
    <xf numFmtId="0" fontId="36" fillId="0" borderId="104" xfId="143" applyFont="1" applyFill="1" applyBorder="1" applyAlignment="1">
      <alignment wrapText="1"/>
    </xf>
    <xf numFmtId="0" fontId="36" fillId="0" borderId="104" xfId="143" applyFont="1" applyFill="1" applyBorder="1" applyAlignment="1"/>
    <xf numFmtId="0" fontId="47" fillId="31" borderId="102" xfId="143" applyFont="1" applyFill="1" applyBorder="1" applyAlignment="1">
      <alignment wrapText="1"/>
    </xf>
    <xf numFmtId="3" fontId="36" fillId="0" borderId="102" xfId="143" applyNumberFormat="1" applyFont="1" applyFill="1" applyBorder="1" applyAlignment="1">
      <alignment horizontal="right"/>
    </xf>
    <xf numFmtId="0" fontId="36" fillId="0" borderId="102" xfId="143" applyFont="1" applyFill="1" applyBorder="1" applyAlignment="1">
      <alignment horizontal="right" wrapText="1"/>
    </xf>
    <xf numFmtId="0" fontId="36" fillId="0" borderId="103" xfId="143" applyFont="1" applyFill="1" applyBorder="1" applyAlignment="1">
      <alignment horizontal="right"/>
    </xf>
    <xf numFmtId="0" fontId="36" fillId="0" borderId="16" xfId="143" applyFont="1" applyFill="1" applyBorder="1" applyAlignment="1">
      <alignment horizontal="right"/>
    </xf>
    <xf numFmtId="0" fontId="28" fillId="31" borderId="102" xfId="143" applyFont="1" applyFill="1" applyBorder="1" applyAlignment="1">
      <alignment wrapText="1"/>
    </xf>
    <xf numFmtId="3" fontId="28" fillId="0" borderId="102" xfId="143" applyNumberFormat="1" applyFont="1" applyFill="1" applyBorder="1"/>
    <xf numFmtId="3" fontId="28" fillId="0" borderId="102" xfId="143" applyNumberFormat="1" applyFont="1" applyFill="1" applyBorder="1" applyAlignment="1">
      <alignment wrapText="1"/>
    </xf>
    <xf numFmtId="3" fontId="22" fillId="0" borderId="103" xfId="143" applyNumberFormat="1" applyFont="1" applyFill="1" applyBorder="1"/>
    <xf numFmtId="3" fontId="28" fillId="0" borderId="16" xfId="0" applyNumberFormat="1" applyFont="1" applyBorder="1"/>
    <xf numFmtId="3" fontId="28" fillId="0" borderId="103" xfId="143" applyNumberFormat="1" applyFont="1" applyFill="1" applyBorder="1"/>
    <xf numFmtId="0" fontId="36" fillId="31" borderId="102" xfId="143" applyFont="1" applyFill="1" applyBorder="1" applyAlignment="1">
      <alignment wrapText="1"/>
    </xf>
    <xf numFmtId="3" fontId="36" fillId="0" borderId="102" xfId="143" applyNumberFormat="1" applyFont="1" applyFill="1" applyBorder="1"/>
    <xf numFmtId="3" fontId="36" fillId="0" borderId="103" xfId="143" applyNumberFormat="1" applyFont="1" applyFill="1" applyBorder="1"/>
    <xf numFmtId="3" fontId="22" fillId="0" borderId="16" xfId="0" applyNumberFormat="1" applyFont="1" applyBorder="1"/>
    <xf numFmtId="0" fontId="28" fillId="31" borderId="119" xfId="143" applyFont="1" applyFill="1" applyBorder="1" applyAlignment="1">
      <alignment wrapText="1"/>
    </xf>
    <xf numFmtId="0" fontId="28" fillId="0" borderId="119" xfId="143" applyFont="1" applyFill="1" applyBorder="1" applyAlignment="1"/>
    <xf numFmtId="0" fontId="28" fillId="0" borderId="119" xfId="143" applyFont="1" applyFill="1" applyBorder="1" applyAlignment="1">
      <alignment wrapText="1"/>
    </xf>
    <xf numFmtId="0" fontId="28" fillId="0" borderId="10" xfId="143" applyFont="1" applyFill="1" applyBorder="1" applyAlignment="1"/>
    <xf numFmtId="0" fontId="28" fillId="0" borderId="0" xfId="0" applyFont="1" applyBorder="1"/>
    <xf numFmtId="3" fontId="36" fillId="0" borderId="102" xfId="143" applyNumberFormat="1" applyFont="1" applyFill="1" applyBorder="1" applyAlignment="1">
      <alignment horizontal="right" wrapText="1"/>
    </xf>
    <xf numFmtId="0" fontId="36" fillId="0" borderId="103" xfId="143" applyFont="1" applyFill="1" applyBorder="1" applyAlignment="1">
      <alignment horizontal="right" wrapText="1"/>
    </xf>
    <xf numFmtId="0" fontId="36" fillId="0" borderId="16" xfId="143" applyFont="1" applyFill="1" applyBorder="1" applyAlignment="1">
      <alignment horizontal="right" wrapText="1"/>
    </xf>
    <xf numFmtId="3" fontId="28" fillId="0" borderId="103" xfId="143" applyNumberFormat="1" applyFont="1" applyFill="1" applyBorder="1" applyAlignment="1">
      <alignment wrapText="1"/>
    </xf>
    <xf numFmtId="3" fontId="28" fillId="0" borderId="16" xfId="143" applyNumberFormat="1" applyFont="1" applyFill="1" applyBorder="1"/>
    <xf numFmtId="3" fontId="36" fillId="0" borderId="16" xfId="143" applyNumberFormat="1" applyFont="1" applyFill="1" applyBorder="1"/>
    <xf numFmtId="3" fontId="28" fillId="0" borderId="0" xfId="143" applyNumberFormat="1" applyFont="1"/>
    <xf numFmtId="0" fontId="0" fillId="31" borderId="102" xfId="143" applyFont="1" applyFill="1" applyBorder="1" applyAlignment="1">
      <alignment wrapText="1"/>
    </xf>
    <xf numFmtId="0" fontId="28" fillId="31" borderId="0" xfId="102" applyFont="1" applyFill="1"/>
    <xf numFmtId="0" fontId="28" fillId="0" borderId="0" xfId="102" applyFont="1"/>
    <xf numFmtId="3" fontId="28" fillId="0" borderId="121" xfId="143" applyNumberFormat="1" applyFont="1" applyFill="1" applyBorder="1"/>
    <xf numFmtId="0" fontId="22" fillId="0" borderId="0" xfId="143" applyFont="1"/>
    <xf numFmtId="3" fontId="36" fillId="0" borderId="0" xfId="143" applyNumberFormat="1" applyFont="1" applyFill="1" applyBorder="1" applyAlignment="1"/>
    <xf numFmtId="3" fontId="28" fillId="0" borderId="113" xfId="143" applyNumberFormat="1" applyFont="1" applyFill="1" applyBorder="1"/>
    <xf numFmtId="3" fontId="28" fillId="0" borderId="11" xfId="143" applyNumberFormat="1" applyFont="1" applyFill="1" applyBorder="1" applyAlignment="1">
      <alignment wrapText="1"/>
    </xf>
    <xf numFmtId="3" fontId="28" fillId="0" borderId="62" xfId="143" applyNumberFormat="1" applyFont="1" applyFill="1" applyBorder="1"/>
    <xf numFmtId="3" fontId="28" fillId="0" borderId="16" xfId="143" applyNumberFormat="1" applyFont="1" applyFill="1" applyBorder="1" applyAlignment="1">
      <alignment wrapText="1"/>
    </xf>
    <xf numFmtId="0" fontId="36" fillId="31" borderId="99" xfId="143" applyFont="1" applyFill="1" applyBorder="1" applyAlignment="1">
      <alignment wrapText="1"/>
    </xf>
    <xf numFmtId="3" fontId="36" fillId="0" borderId="99" xfId="143" applyNumberFormat="1" applyFont="1" applyFill="1" applyBorder="1"/>
    <xf numFmtId="3" fontId="28" fillId="0" borderId="0" xfId="143" applyNumberFormat="1" applyFont="1" applyFill="1" applyBorder="1"/>
    <xf numFmtId="0" fontId="0" fillId="31" borderId="103" xfId="143" applyFont="1" applyFill="1" applyBorder="1" applyAlignment="1">
      <alignment wrapText="1"/>
    </xf>
    <xf numFmtId="3" fontId="28" fillId="0" borderId="12" xfId="143" applyNumberFormat="1" applyFont="1" applyFill="1" applyBorder="1" applyAlignment="1">
      <alignment wrapText="1"/>
    </xf>
    <xf numFmtId="0" fontId="36" fillId="0" borderId="102" xfId="143" applyFont="1" applyFill="1" applyBorder="1" applyAlignment="1">
      <alignment horizontal="right"/>
    </xf>
    <xf numFmtId="0" fontId="0" fillId="31" borderId="122" xfId="143" applyFont="1" applyFill="1" applyBorder="1" applyAlignment="1">
      <alignment wrapText="1"/>
    </xf>
    <xf numFmtId="3" fontId="28" fillId="0" borderId="122" xfId="143" applyNumberFormat="1" applyFont="1" applyFill="1" applyBorder="1"/>
    <xf numFmtId="3" fontId="28" fillId="0" borderId="108" xfId="143" applyNumberFormat="1" applyFont="1" applyFill="1" applyBorder="1" applyAlignment="1">
      <alignment wrapText="1"/>
    </xf>
    <xf numFmtId="0" fontId="22" fillId="0" borderId="0" xfId="138" applyFont="1" applyAlignment="1">
      <alignment horizontal="center"/>
    </xf>
    <xf numFmtId="0" fontId="22" fillId="0" borderId="0" xfId="138" applyFont="1" applyAlignment="1">
      <alignment horizontal="center" wrapText="1"/>
    </xf>
    <xf numFmtId="3" fontId="21" fillId="0" borderId="0" xfId="138" applyNumberFormat="1" applyFont="1" applyAlignment="1">
      <alignment horizontal="center"/>
    </xf>
    <xf numFmtId="0" fontId="22" fillId="0" borderId="46" xfId="138" applyFont="1" applyBorder="1" applyAlignment="1">
      <alignment horizontal="center" vertical="center"/>
    </xf>
    <xf numFmtId="0" fontId="22" fillId="0" borderId="47" xfId="138" applyFont="1" applyBorder="1" applyAlignment="1">
      <alignment horizontal="center" vertical="center" wrapText="1"/>
    </xf>
    <xf numFmtId="0" fontId="22" fillId="0" borderId="48" xfId="138" applyFont="1" applyBorder="1" applyAlignment="1">
      <alignment wrapText="1"/>
    </xf>
    <xf numFmtId="0" fontId="48" fillId="0" borderId="48" xfId="138" applyFont="1" applyBorder="1" applyAlignment="1">
      <alignment wrapText="1"/>
    </xf>
    <xf numFmtId="0" fontId="22" fillId="0" borderId="48" xfId="138" applyFont="1" applyBorder="1"/>
    <xf numFmtId="0" fontId="49" fillId="0" borderId="48" xfId="138" applyFont="1" applyBorder="1" applyAlignment="1">
      <alignment wrapText="1"/>
    </xf>
    <xf numFmtId="0" fontId="28" fillId="0" borderId="124" xfId="138" applyFont="1" applyBorder="1"/>
    <xf numFmtId="3" fontId="20" fillId="0" borderId="17" xfId="138" applyNumberFormat="1" applyFont="1" applyBorder="1"/>
    <xf numFmtId="3" fontId="20" fillId="0" borderId="23" xfId="138" applyNumberFormat="1" applyFont="1" applyBorder="1"/>
    <xf numFmtId="3" fontId="20" fillId="0" borderId="22" xfId="138" applyNumberFormat="1" applyFont="1" applyBorder="1"/>
    <xf numFmtId="3" fontId="20" fillId="0" borderId="50" xfId="138" applyNumberFormat="1" applyFont="1" applyBorder="1"/>
    <xf numFmtId="3" fontId="28" fillId="0" borderId="0" xfId="138" applyNumberFormat="1" applyFont="1"/>
    <xf numFmtId="0" fontId="22" fillId="0" borderId="124" xfId="138" applyFont="1" applyBorder="1"/>
    <xf numFmtId="3" fontId="21" fillId="0" borderId="17" xfId="138" applyNumberFormat="1" applyFont="1" applyBorder="1"/>
    <xf numFmtId="3" fontId="21" fillId="0" borderId="16" xfId="138" applyNumberFormat="1" applyFont="1" applyBorder="1"/>
    <xf numFmtId="3" fontId="21" fillId="0" borderId="22" xfId="138" applyNumberFormat="1" applyFont="1" applyBorder="1"/>
    <xf numFmtId="0" fontId="28" fillId="0" borderId="32" xfId="138" applyFont="1" applyBorder="1"/>
    <xf numFmtId="0" fontId="28" fillId="0" borderId="48" xfId="138" applyFont="1" applyBorder="1"/>
    <xf numFmtId="0" fontId="49" fillId="0" borderId="32" xfId="138" applyFont="1" applyBorder="1" applyAlignment="1">
      <alignment wrapText="1"/>
    </xf>
    <xf numFmtId="0" fontId="22" fillId="0" borderId="13" xfId="138" applyFont="1" applyBorder="1"/>
    <xf numFmtId="0" fontId="48" fillId="0" borderId="125" xfId="138" applyFont="1" applyBorder="1" applyAlignment="1">
      <alignment wrapText="1"/>
    </xf>
    <xf numFmtId="0" fontId="22" fillId="0" borderId="126" xfId="138" applyFont="1" applyBorder="1"/>
    <xf numFmtId="0" fontId="49" fillId="0" borderId="126" xfId="138" applyFont="1" applyBorder="1" applyAlignment="1">
      <alignment wrapText="1"/>
    </xf>
    <xf numFmtId="3" fontId="21" fillId="0" borderId="24" xfId="138" applyNumberFormat="1" applyFont="1" applyBorder="1"/>
    <xf numFmtId="3" fontId="21" fillId="0" borderId="57" xfId="138" applyNumberFormat="1" applyFont="1" applyBorder="1"/>
    <xf numFmtId="3" fontId="21" fillId="0" borderId="43" xfId="138" applyNumberFormat="1" applyFont="1" applyBorder="1"/>
    <xf numFmtId="0" fontId="28" fillId="0" borderId="0" xfId="138" applyFont="1" applyAlignment="1">
      <alignment wrapText="1"/>
    </xf>
    <xf numFmtId="3" fontId="20" fillId="0" borderId="0" xfId="138" applyNumberFormat="1" applyFont="1"/>
    <xf numFmtId="3" fontId="21" fillId="0" borderId="37" xfId="138" applyNumberFormat="1" applyFont="1" applyBorder="1"/>
    <xf numFmtId="3" fontId="21" fillId="0" borderId="40" xfId="138" applyNumberFormat="1" applyFont="1" applyBorder="1"/>
    <xf numFmtId="3" fontId="21" fillId="0" borderId="60" xfId="138" applyNumberFormat="1" applyFont="1" applyBorder="1"/>
    <xf numFmtId="3" fontId="20" fillId="0" borderId="55" xfId="138" applyNumberFormat="1" applyFont="1" applyBorder="1"/>
    <xf numFmtId="3" fontId="20" fillId="0" borderId="61" xfId="138" applyNumberFormat="1" applyFont="1" applyBorder="1"/>
    <xf numFmtId="0" fontId="22" fillId="0" borderId="44" xfId="138" applyFont="1" applyBorder="1"/>
    <xf numFmtId="3" fontId="20" fillId="0" borderId="17" xfId="138" applyNumberFormat="1" applyFont="1" applyFill="1" applyBorder="1"/>
    <xf numFmtId="3" fontId="41" fillId="0" borderId="23" xfId="138" applyNumberFormat="1" applyFont="1" applyFill="1" applyBorder="1"/>
    <xf numFmtId="0" fontId="28" fillId="0" borderId="14" xfId="138" applyFont="1" applyBorder="1" applyAlignment="1">
      <alignment wrapText="1"/>
    </xf>
    <xf numFmtId="0" fontId="48" fillId="0" borderId="13" xfId="138" applyFont="1" applyBorder="1" applyAlignment="1">
      <alignment wrapText="1"/>
    </xf>
    <xf numFmtId="0" fontId="21" fillId="30" borderId="77" xfId="113" applyFont="1" applyFill="1" applyBorder="1" applyAlignment="1">
      <alignment horizontal="center" vertical="center" wrapText="1"/>
    </xf>
    <xf numFmtId="0" fontId="21" fillId="30" borderId="42" xfId="113" applyFont="1" applyFill="1" applyBorder="1" applyAlignment="1">
      <alignment horizontal="center" vertical="center" wrapText="1"/>
    </xf>
    <xf numFmtId="3" fontId="20" fillId="29" borderId="52" xfId="113" applyNumberFormat="1" applyFont="1" applyFill="1" applyBorder="1"/>
    <xf numFmtId="3" fontId="20" fillId="29" borderId="40" xfId="113" applyNumberFormat="1" applyFont="1" applyFill="1" applyBorder="1"/>
    <xf numFmtId="3" fontId="20" fillId="29" borderId="60" xfId="113" applyNumberFormat="1" applyFont="1" applyFill="1" applyBorder="1" applyAlignment="1">
      <alignment horizontal="right"/>
    </xf>
    <xf numFmtId="3" fontId="20" fillId="31" borderId="50" xfId="106" applyNumberFormat="1" applyFont="1" applyFill="1" applyBorder="1"/>
    <xf numFmtId="3" fontId="20" fillId="31" borderId="16" xfId="106" applyNumberFormat="1" applyFont="1" applyFill="1" applyBorder="1"/>
    <xf numFmtId="3" fontId="20" fillId="31" borderId="22" xfId="106" applyNumberFormat="1" applyFont="1" applyFill="1" applyBorder="1"/>
    <xf numFmtId="3" fontId="20" fillId="0" borderId="34" xfId="113" applyNumberFormat="1" applyFont="1" applyBorder="1"/>
    <xf numFmtId="2" fontId="21" fillId="0" borderId="76" xfId="113" applyNumberFormat="1" applyFont="1" applyBorder="1"/>
    <xf numFmtId="1" fontId="21" fillId="0" borderId="76" xfId="113" applyNumberFormat="1" applyFont="1" applyBorder="1"/>
    <xf numFmtId="1" fontId="21" fillId="0" borderId="42" xfId="113" applyNumberFormat="1" applyFont="1" applyBorder="1"/>
    <xf numFmtId="0" fontId="21" fillId="30" borderId="33" xfId="113" applyFont="1" applyFill="1" applyBorder="1" applyAlignment="1">
      <alignment horizontal="center" vertical="center" wrapText="1"/>
    </xf>
    <xf numFmtId="0" fontId="21" fillId="30" borderId="34" xfId="113" applyFont="1" applyFill="1" applyBorder="1" applyAlignment="1">
      <alignment horizontal="center" vertical="center" wrapText="1"/>
    </xf>
    <xf numFmtId="0" fontId="21" fillId="30" borderId="64" xfId="113" applyFont="1" applyFill="1" applyBorder="1" applyAlignment="1">
      <alignment horizontal="center" vertical="center" wrapText="1"/>
    </xf>
    <xf numFmtId="3" fontId="20" fillId="29" borderId="26" xfId="113" applyNumberFormat="1" applyFont="1" applyFill="1" applyBorder="1"/>
    <xf numFmtId="0" fontId="22" fillId="0" borderId="64" xfId="113" applyFont="1" applyBorder="1"/>
    <xf numFmtId="3" fontId="36" fillId="0" borderId="16" xfId="0" applyNumberFormat="1" applyFont="1" applyBorder="1"/>
    <xf numFmtId="0" fontId="36" fillId="0" borderId="0" xfId="0" applyFont="1"/>
    <xf numFmtId="3" fontId="28" fillId="0" borderId="16" xfId="143" applyNumberFormat="1" applyFont="1" applyFill="1" applyBorder="1" applyAlignment="1"/>
    <xf numFmtId="3" fontId="28" fillId="0" borderId="21" xfId="143" applyNumberFormat="1" applyFont="1" applyFill="1" applyBorder="1"/>
    <xf numFmtId="3" fontId="28" fillId="0" borderId="127" xfId="143" applyNumberFormat="1" applyFont="1" applyFill="1" applyBorder="1"/>
    <xf numFmtId="3" fontId="28" fillId="0" borderId="0" xfId="0" applyNumberFormat="1" applyFont="1"/>
    <xf numFmtId="3" fontId="0" fillId="0" borderId="16" xfId="0" applyNumberFormat="1" applyFont="1" applyBorder="1"/>
    <xf numFmtId="0" fontId="0" fillId="0" borderId="0" xfId="0" applyBorder="1"/>
    <xf numFmtId="0" fontId="36" fillId="0" borderId="0" xfId="143" applyFont="1" applyFill="1" applyBorder="1" applyAlignment="1">
      <alignment horizontal="right"/>
    </xf>
    <xf numFmtId="3" fontId="28" fillId="0" borderId="0" xfId="0" applyNumberFormat="1" applyFont="1" applyBorder="1"/>
    <xf numFmtId="3" fontId="36" fillId="0" borderId="0" xfId="143" applyNumberFormat="1" applyFont="1" applyFill="1" applyBorder="1"/>
    <xf numFmtId="0" fontId="36" fillId="0" borderId="0" xfId="143" applyFont="1" applyFill="1" applyBorder="1" applyAlignment="1">
      <alignment horizontal="right" wrapText="1"/>
    </xf>
    <xf numFmtId="0" fontId="36" fillId="31" borderId="0" xfId="143" applyFont="1" applyFill="1" applyBorder="1" applyAlignment="1">
      <alignment wrapText="1"/>
    </xf>
    <xf numFmtId="3" fontId="28" fillId="0" borderId="23" xfId="143" applyNumberFormat="1" applyFont="1" applyFill="1" applyBorder="1"/>
    <xf numFmtId="3" fontId="22" fillId="0" borderId="16" xfId="143" applyNumberFormat="1" applyFont="1" applyFill="1" applyBorder="1"/>
    <xf numFmtId="0" fontId="28" fillId="0" borderId="16" xfId="143" applyFont="1" applyFill="1" applyBorder="1" applyAlignment="1"/>
    <xf numFmtId="3" fontId="22" fillId="0" borderId="0" xfId="143" applyNumberFormat="1" applyFont="1" applyFill="1"/>
    <xf numFmtId="0" fontId="28" fillId="0" borderId="0" xfId="143" applyFont="1" applyFill="1" applyAlignment="1">
      <alignment wrapText="1"/>
    </xf>
    <xf numFmtId="0" fontId="28" fillId="0" borderId="0" xfId="143" applyFont="1" applyFill="1"/>
    <xf numFmtId="0" fontId="47" fillId="31" borderId="103" xfId="143" applyFont="1" applyFill="1" applyBorder="1" applyAlignment="1">
      <alignment wrapText="1"/>
    </xf>
    <xf numFmtId="3" fontId="36" fillId="0" borderId="16" xfId="143" applyNumberFormat="1" applyFont="1" applyFill="1" applyBorder="1" applyAlignment="1">
      <alignment horizontal="right"/>
    </xf>
    <xf numFmtId="0" fontId="28" fillId="31" borderId="103" xfId="143" applyFont="1" applyFill="1" applyBorder="1" applyAlignment="1">
      <alignment wrapText="1"/>
    </xf>
    <xf numFmtId="0" fontId="36" fillId="31" borderId="103" xfId="143" applyFont="1" applyFill="1" applyBorder="1" applyAlignment="1">
      <alignment wrapText="1"/>
    </xf>
    <xf numFmtId="0" fontId="28" fillId="0" borderId="0" xfId="143" applyFont="1" applyFill="1" applyBorder="1" applyAlignment="1"/>
    <xf numFmtId="0" fontId="28" fillId="0" borderId="0" xfId="143" applyFont="1" applyFill="1" applyBorder="1" applyAlignment="1">
      <alignment wrapText="1"/>
    </xf>
    <xf numFmtId="3" fontId="28" fillId="0" borderId="99" xfId="143" applyNumberFormat="1" applyFont="1" applyFill="1" applyBorder="1"/>
    <xf numFmtId="3" fontId="28" fillId="0" borderId="96" xfId="143" applyNumberFormat="1" applyFont="1" applyFill="1" applyBorder="1" applyAlignment="1">
      <alignment wrapText="1"/>
    </xf>
    <xf numFmtId="3" fontId="28" fillId="0" borderId="40" xfId="143" applyNumberFormat="1" applyFont="1" applyFill="1" applyBorder="1"/>
    <xf numFmtId="3" fontId="28" fillId="0" borderId="0" xfId="143" applyNumberFormat="1" applyFont="1" applyFill="1" applyBorder="1" applyAlignment="1">
      <alignment wrapText="1"/>
    </xf>
    <xf numFmtId="3" fontId="36" fillId="0" borderId="12" xfId="143" applyNumberFormat="1" applyFont="1" applyFill="1" applyBorder="1"/>
    <xf numFmtId="0" fontId="21" fillId="0" borderId="0" xfId="138" applyFont="1" applyBorder="1" applyAlignment="1">
      <alignment horizontal="center" wrapText="1"/>
    </xf>
    <xf numFmtId="0" fontId="0" fillId="0" borderId="32" xfId="113" applyFont="1" applyBorder="1" applyAlignment="1">
      <alignment wrapText="1"/>
    </xf>
    <xf numFmtId="4" fontId="20" fillId="0" borderId="0" xfId="113" applyNumberFormat="1" applyFont="1" applyBorder="1" applyAlignment="1">
      <alignment wrapText="1"/>
    </xf>
    <xf numFmtId="0" fontId="20" fillId="0" borderId="0" xfId="113" applyFont="1" applyBorder="1" applyAlignment="1">
      <alignment wrapText="1"/>
    </xf>
    <xf numFmtId="0" fontId="29" fillId="0" borderId="0" xfId="113" applyFont="1" applyBorder="1" applyAlignment="1">
      <alignment wrapText="1"/>
    </xf>
    <xf numFmtId="0" fontId="26" fillId="0" borderId="23" xfId="138" applyFont="1" applyBorder="1"/>
    <xf numFmtId="0" fontId="26" fillId="0" borderId="54" xfId="113" applyFont="1" applyFill="1" applyBorder="1" applyAlignment="1">
      <alignment horizontal="left" vertical="center" wrapText="1" indent="2"/>
    </xf>
    <xf numFmtId="3" fontId="26" fillId="0" borderId="62" xfId="106" applyNumberFormat="1" applyFont="1" applyBorder="1"/>
    <xf numFmtId="0" fontId="22" fillId="0" borderId="128" xfId="138" applyFont="1" applyBorder="1"/>
    <xf numFmtId="0" fontId="48" fillId="0" borderId="128" xfId="138" applyFont="1" applyBorder="1" applyAlignment="1">
      <alignment wrapText="1"/>
    </xf>
    <xf numFmtId="3" fontId="20" fillId="0" borderId="54" xfId="138" applyNumberFormat="1" applyFont="1" applyBorder="1"/>
    <xf numFmtId="3" fontId="20" fillId="0" borderId="66" xfId="138" applyNumberFormat="1" applyFont="1" applyBorder="1"/>
    <xf numFmtId="3" fontId="36" fillId="0" borderId="0" xfId="143" applyNumberFormat="1" applyFont="1" applyFill="1" applyBorder="1" applyAlignment="1">
      <alignment wrapText="1"/>
    </xf>
    <xf numFmtId="0" fontId="21" fillId="0" borderId="38" xfId="113" applyFont="1" applyBorder="1" applyAlignment="1">
      <alignment horizontal="center" vertical="center" wrapText="1"/>
    </xf>
    <xf numFmtId="0" fontId="25" fillId="0" borderId="38" xfId="113" applyFont="1" applyBorder="1" applyAlignment="1">
      <alignment horizontal="center" vertical="center" wrapText="1"/>
    </xf>
    <xf numFmtId="0" fontId="26" fillId="0" borderId="55" xfId="113" applyFont="1" applyBorder="1" applyAlignment="1">
      <alignment horizontal="left" wrapText="1"/>
    </xf>
    <xf numFmtId="0" fontId="26" fillId="0" borderId="50" xfId="113" applyFont="1" applyBorder="1" applyAlignment="1">
      <alignment horizontal="left" wrapText="1"/>
    </xf>
    <xf numFmtId="0" fontId="26" fillId="29" borderId="50" xfId="112" applyFont="1" applyFill="1" applyBorder="1" applyAlignment="1">
      <alignment wrapText="1"/>
    </xf>
    <xf numFmtId="0" fontId="25" fillId="0" borderId="50" xfId="113" applyFont="1" applyBorder="1" applyAlignment="1">
      <alignment horizontal="left" wrapText="1"/>
    </xf>
    <xf numFmtId="0" fontId="25" fillId="0" borderId="50" xfId="112" applyFont="1" applyBorder="1" applyAlignment="1">
      <alignment horizontal="left" wrapText="1"/>
    </xf>
    <xf numFmtId="0" fontId="25" fillId="29" borderId="50" xfId="113" applyFont="1" applyFill="1" applyBorder="1" applyAlignment="1">
      <alignment horizontal="left" wrapText="1"/>
    </xf>
    <xf numFmtId="0" fontId="25" fillId="29" borderId="50" xfId="113" applyFont="1" applyFill="1" applyBorder="1" applyAlignment="1">
      <alignment horizontal="left" vertical="top" wrapText="1"/>
    </xf>
    <xf numFmtId="0" fontId="20" fillId="0" borderId="50" xfId="113" applyFont="1" applyBorder="1" applyAlignment="1">
      <alignment horizontal="left" wrapText="1" indent="2"/>
    </xf>
    <xf numFmtId="0" fontId="20" fillId="32" borderId="50" xfId="0" applyFont="1" applyFill="1" applyBorder="1" applyAlignment="1">
      <alignment wrapText="1"/>
    </xf>
    <xf numFmtId="0" fontId="0" fillId="0" borderId="51" xfId="113" applyFont="1" applyBorder="1" applyAlignment="1">
      <alignment wrapText="1"/>
    </xf>
    <xf numFmtId="3" fontId="26" fillId="0" borderId="25" xfId="113" applyNumberFormat="1" applyFont="1" applyBorder="1"/>
    <xf numFmtId="3" fontId="26" fillId="0" borderId="17" xfId="113" applyNumberFormat="1" applyFont="1" applyBorder="1"/>
    <xf numFmtId="3" fontId="25" fillId="0" borderId="17" xfId="113" applyNumberFormat="1" applyFont="1" applyBorder="1"/>
    <xf numFmtId="0" fontId="25" fillId="0" borderId="17" xfId="113" applyFont="1" applyBorder="1"/>
    <xf numFmtId="3" fontId="25" fillId="0" borderId="17" xfId="113" applyNumberFormat="1" applyFont="1" applyBorder="1" applyAlignment="1">
      <alignment horizontal="right" wrapText="1"/>
    </xf>
    <xf numFmtId="3" fontId="25" fillId="29" borderId="17" xfId="113" applyNumberFormat="1" applyFont="1" applyFill="1" applyBorder="1" applyAlignment="1">
      <alignment horizontal="right" wrapText="1"/>
    </xf>
    <xf numFmtId="0" fontId="26" fillId="0" borderId="17" xfId="113" applyFont="1" applyBorder="1"/>
    <xf numFmtId="3" fontId="25" fillId="29" borderId="17" xfId="113" applyNumberFormat="1" applyFont="1" applyFill="1" applyBorder="1" applyAlignment="1">
      <alignment horizontal="right" vertical="center" wrapText="1"/>
    </xf>
    <xf numFmtId="3" fontId="26" fillId="0" borderId="24" xfId="113" applyNumberFormat="1" applyFont="1" applyBorder="1"/>
    <xf numFmtId="3" fontId="33" fillId="29" borderId="50" xfId="113" applyNumberFormat="1" applyFont="1" applyFill="1" applyBorder="1"/>
    <xf numFmtId="3" fontId="36" fillId="0" borderId="0" xfId="143" applyNumberFormat="1" applyFont="1" applyFill="1" applyAlignment="1">
      <alignment wrapText="1"/>
    </xf>
    <xf numFmtId="0" fontId="20" fillId="0" borderId="50" xfId="113" applyFont="1" applyBorder="1" applyAlignment="1">
      <alignment vertical="center" wrapText="1"/>
    </xf>
    <xf numFmtId="3" fontId="20" fillId="29" borderId="23" xfId="113" applyNumberFormat="1" applyFont="1" applyFill="1" applyBorder="1" applyAlignment="1">
      <alignment vertical="center"/>
    </xf>
    <xf numFmtId="3" fontId="20" fillId="0" borderId="50" xfId="113" applyNumberFormat="1" applyFont="1" applyBorder="1" applyAlignment="1">
      <alignment horizontal="right" vertical="center"/>
    </xf>
    <xf numFmtId="3" fontId="20" fillId="0" borderId="23" xfId="113" applyNumberFormat="1" applyFont="1" applyBorder="1" applyAlignment="1">
      <alignment horizontal="right" vertical="center"/>
    </xf>
    <xf numFmtId="3" fontId="20" fillId="0" borderId="16" xfId="113" applyNumberFormat="1" applyFont="1" applyBorder="1" applyAlignment="1">
      <alignment horizontal="right" vertical="center"/>
    </xf>
    <xf numFmtId="3" fontId="20" fillId="0" borderId="22" xfId="113" applyNumberFormat="1" applyFont="1" applyBorder="1" applyAlignment="1">
      <alignment horizontal="right" vertical="center"/>
    </xf>
    <xf numFmtId="0" fontId="20" fillId="0" borderId="32" xfId="113" applyFont="1" applyBorder="1" applyAlignment="1">
      <alignment vertical="center" wrapText="1"/>
    </xf>
    <xf numFmtId="3" fontId="20" fillId="0" borderId="17" xfId="113" applyNumberFormat="1" applyFont="1" applyBorder="1" applyAlignment="1">
      <alignment horizontal="right" vertical="center"/>
    </xf>
    <xf numFmtId="3" fontId="20" fillId="0" borderId="17" xfId="113" applyNumberFormat="1" applyFont="1" applyBorder="1" applyAlignment="1">
      <alignment vertical="center"/>
    </xf>
    <xf numFmtId="3" fontId="20" fillId="0" borderId="16" xfId="113" applyNumberFormat="1" applyFont="1" applyBorder="1" applyAlignment="1">
      <alignment vertical="center"/>
    </xf>
    <xf numFmtId="3" fontId="20" fillId="0" borderId="22" xfId="113" applyNumberFormat="1" applyFont="1" applyBorder="1" applyAlignment="1">
      <alignment vertical="center"/>
    </xf>
    <xf numFmtId="3" fontId="20" fillId="29" borderId="52" xfId="113" applyNumberFormat="1" applyFont="1" applyFill="1" applyBorder="1" applyAlignment="1">
      <alignment vertical="center"/>
    </xf>
    <xf numFmtId="3" fontId="20" fillId="29" borderId="27" xfId="113" applyNumberFormat="1" applyFont="1" applyFill="1" applyBorder="1" applyAlignment="1">
      <alignment vertical="center"/>
    </xf>
    <xf numFmtId="3" fontId="20" fillId="29" borderId="40" xfId="113" applyNumberFormat="1" applyFont="1" applyFill="1" applyBorder="1" applyAlignment="1">
      <alignment vertical="center"/>
    </xf>
    <xf numFmtId="3" fontId="28" fillId="0" borderId="0" xfId="106" applyNumberFormat="1" applyFont="1" applyAlignment="1">
      <alignment vertical="center"/>
    </xf>
    <xf numFmtId="3" fontId="28" fillId="0" borderId="0" xfId="113" applyNumberFormat="1" applyFont="1" applyBorder="1" applyAlignment="1">
      <alignment vertical="center"/>
    </xf>
    <xf numFmtId="0" fontId="28" fillId="0" borderId="0" xfId="113" applyFont="1" applyBorder="1" applyAlignment="1">
      <alignment vertical="center"/>
    </xf>
    <xf numFmtId="0" fontId="20" fillId="0" borderId="50" xfId="113" applyFont="1" applyFill="1" applyBorder="1" applyAlignment="1">
      <alignment vertical="center" wrapText="1"/>
    </xf>
    <xf numFmtId="3" fontId="20" fillId="0" borderId="52" xfId="113" applyNumberFormat="1" applyFont="1" applyBorder="1" applyAlignment="1">
      <alignment horizontal="right" vertical="center"/>
    </xf>
    <xf numFmtId="3" fontId="20" fillId="0" borderId="40" xfId="113" applyNumberFormat="1" applyFont="1" applyBorder="1" applyAlignment="1">
      <alignment horizontal="right" vertical="center"/>
    </xf>
    <xf numFmtId="0" fontId="20" fillId="0" borderId="32" xfId="113" applyFont="1" applyFill="1" applyBorder="1" applyAlignment="1">
      <alignment vertical="center" wrapText="1"/>
    </xf>
    <xf numFmtId="3" fontId="20" fillId="0" borderId="23" xfId="113" applyNumberFormat="1" applyFont="1" applyFill="1" applyBorder="1" applyAlignment="1">
      <alignment vertical="center"/>
    </xf>
    <xf numFmtId="3" fontId="20" fillId="0" borderId="22" xfId="113" applyNumberFormat="1" applyFont="1" applyFill="1" applyBorder="1" applyAlignment="1">
      <alignment vertical="center"/>
    </xf>
    <xf numFmtId="3" fontId="28" fillId="0" borderId="0" xfId="113" applyNumberFormat="1" applyFont="1" applyFill="1" applyBorder="1" applyAlignment="1">
      <alignment vertical="center"/>
    </xf>
    <xf numFmtId="0" fontId="28" fillId="0" borderId="0" xfId="113" applyFont="1" applyFill="1" applyAlignment="1">
      <alignment vertical="center"/>
    </xf>
    <xf numFmtId="0" fontId="28" fillId="0" borderId="0" xfId="113" applyFont="1" applyFill="1" applyBorder="1" applyAlignment="1">
      <alignment vertical="center"/>
    </xf>
    <xf numFmtId="0" fontId="20" fillId="29" borderId="50" xfId="113" applyFont="1" applyFill="1" applyBorder="1" applyAlignment="1">
      <alignment vertical="center" wrapText="1"/>
    </xf>
    <xf numFmtId="3" fontId="20" fillId="29" borderId="61" xfId="113" applyNumberFormat="1" applyFont="1" applyFill="1" applyBorder="1" applyAlignment="1">
      <alignment vertical="center"/>
    </xf>
    <xf numFmtId="3" fontId="20" fillId="0" borderId="55" xfId="113" applyNumberFormat="1" applyFont="1" applyBorder="1" applyAlignment="1">
      <alignment horizontal="right" vertical="center"/>
    </xf>
    <xf numFmtId="3" fontId="20" fillId="0" borderId="61" xfId="113" applyNumberFormat="1" applyFont="1" applyBorder="1" applyAlignment="1">
      <alignment horizontal="right" vertical="center"/>
    </xf>
    <xf numFmtId="3" fontId="20" fillId="0" borderId="38" xfId="113" applyNumberFormat="1" applyFont="1" applyBorder="1" applyAlignment="1">
      <alignment horizontal="right" vertical="center"/>
    </xf>
    <xf numFmtId="3" fontId="20" fillId="0" borderId="89" xfId="113" applyNumberFormat="1" applyFont="1" applyBorder="1" applyAlignment="1">
      <alignment horizontal="right" vertical="center"/>
    </xf>
    <xf numFmtId="3" fontId="20" fillId="0" borderId="26" xfId="113" applyNumberFormat="1" applyFont="1" applyBorder="1" applyAlignment="1">
      <alignment horizontal="right" vertical="center"/>
    </xf>
    <xf numFmtId="3" fontId="20" fillId="0" borderId="44" xfId="113" applyNumberFormat="1" applyFont="1" applyBorder="1" applyAlignment="1">
      <alignment horizontal="right" vertical="center"/>
    </xf>
    <xf numFmtId="0" fontId="20" fillId="29" borderId="32" xfId="113" applyFont="1" applyFill="1" applyBorder="1" applyAlignment="1">
      <alignment vertical="center" wrapText="1"/>
    </xf>
    <xf numFmtId="3" fontId="20" fillId="0" borderId="25" xfId="113" applyNumberFormat="1" applyFont="1" applyBorder="1" applyAlignment="1">
      <alignment horizontal="right" vertical="center"/>
    </xf>
    <xf numFmtId="3" fontId="20" fillId="0" borderId="25" xfId="113" applyNumberFormat="1" applyFont="1" applyBorder="1" applyAlignment="1">
      <alignment vertical="center"/>
    </xf>
    <xf numFmtId="3" fontId="20" fillId="0" borderId="26" xfId="113" applyNumberFormat="1" applyFont="1" applyBorder="1" applyAlignment="1">
      <alignment vertical="center"/>
    </xf>
    <xf numFmtId="3" fontId="20" fillId="0" borderId="44" xfId="113" applyNumberFormat="1" applyFont="1" applyBorder="1" applyAlignment="1">
      <alignment vertical="center"/>
    </xf>
    <xf numFmtId="3" fontId="20" fillId="29" borderId="60" xfId="113" applyNumberFormat="1" applyFont="1" applyFill="1" applyBorder="1" applyAlignment="1">
      <alignment horizontal="right" vertical="center"/>
    </xf>
    <xf numFmtId="0" fontId="28" fillId="29" borderId="0" xfId="113" applyFont="1" applyFill="1" applyAlignment="1">
      <alignment vertical="center"/>
    </xf>
    <xf numFmtId="3" fontId="20" fillId="0" borderId="50" xfId="113" applyNumberFormat="1" applyFont="1" applyFill="1" applyBorder="1" applyAlignment="1">
      <alignment vertical="center" wrapText="1"/>
    </xf>
    <xf numFmtId="3" fontId="20" fillId="0" borderId="32" xfId="113" applyNumberFormat="1" applyFont="1" applyFill="1" applyBorder="1" applyAlignment="1">
      <alignment vertical="center" wrapText="1"/>
    </xf>
    <xf numFmtId="3" fontId="20" fillId="31" borderId="50" xfId="106" applyNumberFormat="1" applyFont="1" applyFill="1" applyBorder="1" applyAlignment="1">
      <alignment vertical="center"/>
    </xf>
    <xf numFmtId="3" fontId="20" fillId="31" borderId="23" xfId="106" applyNumberFormat="1" applyFont="1" applyFill="1" applyBorder="1" applyAlignment="1">
      <alignment vertical="center"/>
    </xf>
    <xf numFmtId="3" fontId="20" fillId="31" borderId="16" xfId="106" applyNumberFormat="1" applyFont="1" applyFill="1" applyBorder="1" applyAlignment="1">
      <alignment vertical="center"/>
    </xf>
    <xf numFmtId="3" fontId="20" fillId="31" borderId="22" xfId="106" applyNumberFormat="1" applyFont="1" applyFill="1" applyBorder="1" applyAlignment="1">
      <alignment vertical="center"/>
    </xf>
    <xf numFmtId="0" fontId="21" fillId="0" borderId="50" xfId="113" applyFont="1" applyBorder="1" applyAlignment="1">
      <alignment vertical="center" wrapText="1"/>
    </xf>
    <xf numFmtId="3" fontId="21" fillId="0" borderId="23" xfId="113" applyNumberFormat="1" applyFont="1" applyBorder="1" applyAlignment="1">
      <alignment vertical="center"/>
    </xf>
    <xf numFmtId="3" fontId="21" fillId="0" borderId="50" xfId="113" applyNumberFormat="1" applyFont="1" applyBorder="1" applyAlignment="1">
      <alignment vertical="center"/>
    </xf>
    <xf numFmtId="3" fontId="21" fillId="0" borderId="50" xfId="113" applyNumberFormat="1" applyFont="1" applyBorder="1" applyAlignment="1">
      <alignment horizontal="right" vertical="center"/>
    </xf>
    <xf numFmtId="3" fontId="21" fillId="0" borderId="16" xfId="113" applyNumberFormat="1" applyFont="1" applyBorder="1" applyAlignment="1">
      <alignment horizontal="right" vertical="center"/>
    </xf>
    <xf numFmtId="3" fontId="21" fillId="0" borderId="16" xfId="113" applyNumberFormat="1" applyFont="1" applyBorder="1" applyAlignment="1">
      <alignment vertical="center"/>
    </xf>
    <xf numFmtId="3" fontId="21" fillId="0" borderId="22" xfId="113" applyNumberFormat="1" applyFont="1" applyBorder="1" applyAlignment="1">
      <alignment vertical="center"/>
    </xf>
    <xf numFmtId="0" fontId="21" fillId="0" borderId="32" xfId="113" applyFont="1" applyBorder="1" applyAlignment="1">
      <alignment vertical="center" wrapText="1"/>
    </xf>
    <xf numFmtId="3" fontId="21" fillId="0" borderId="17" xfId="113" applyNumberFormat="1" applyFont="1" applyBorder="1" applyAlignment="1">
      <alignment vertical="center"/>
    </xf>
    <xf numFmtId="3" fontId="22" fillId="0" borderId="0" xfId="113" applyNumberFormat="1" applyFont="1" applyBorder="1" applyAlignment="1">
      <alignment vertical="center"/>
    </xf>
    <xf numFmtId="0" fontId="22" fillId="0" borderId="0" xfId="113" applyFont="1" applyAlignment="1">
      <alignment vertical="center"/>
    </xf>
    <xf numFmtId="0" fontId="22" fillId="0" borderId="0" xfId="113" applyFont="1" applyBorder="1" applyAlignment="1">
      <alignment vertical="center"/>
    </xf>
    <xf numFmtId="0" fontId="21" fillId="0" borderId="51" xfId="113" applyFont="1" applyBorder="1" applyAlignment="1">
      <alignment vertical="center" wrapText="1"/>
    </xf>
    <xf numFmtId="3" fontId="21" fillId="0" borderId="57" xfId="113" applyNumberFormat="1" applyFont="1" applyBorder="1" applyAlignment="1">
      <alignment vertical="center"/>
    </xf>
    <xf numFmtId="3" fontId="21" fillId="0" borderId="56" xfId="113" applyNumberFormat="1" applyFont="1" applyBorder="1" applyAlignment="1">
      <alignment vertical="center"/>
    </xf>
    <xf numFmtId="3" fontId="21" fillId="0" borderId="66" xfId="113" applyNumberFormat="1" applyFont="1" applyBorder="1" applyAlignment="1">
      <alignment vertical="center"/>
    </xf>
    <xf numFmtId="3" fontId="21" fillId="0" borderId="51" xfId="113" applyNumberFormat="1" applyFont="1" applyBorder="1" applyAlignment="1">
      <alignment vertical="center"/>
    </xf>
    <xf numFmtId="3" fontId="21" fillId="0" borderId="19" xfId="113" applyNumberFormat="1" applyFont="1" applyBorder="1" applyAlignment="1">
      <alignment vertical="center"/>
    </xf>
    <xf numFmtId="3" fontId="21" fillId="0" borderId="62" xfId="113" applyNumberFormat="1" applyFont="1" applyBorder="1" applyAlignment="1">
      <alignment vertical="center"/>
    </xf>
    <xf numFmtId="0" fontId="21" fillId="0" borderId="84" xfId="113" applyFont="1" applyBorder="1" applyAlignment="1">
      <alignment vertical="center" wrapText="1"/>
    </xf>
    <xf numFmtId="3" fontId="21" fillId="0" borderId="24" xfId="113" applyNumberFormat="1" applyFont="1" applyBorder="1" applyAlignment="1">
      <alignment vertical="center"/>
    </xf>
    <xf numFmtId="3" fontId="21" fillId="0" borderId="43" xfId="113" applyNumberFormat="1" applyFont="1" applyBorder="1" applyAlignment="1">
      <alignment vertical="center"/>
    </xf>
    <xf numFmtId="0" fontId="21" fillId="0" borderId="68" xfId="113" applyFont="1" applyBorder="1" applyAlignment="1">
      <alignment horizontal="center" vertical="center" wrapText="1"/>
    </xf>
    <xf numFmtId="3" fontId="26" fillId="0" borderId="57" xfId="106" applyNumberFormat="1" applyFont="1" applyBorder="1" applyAlignment="1">
      <alignment horizontal="right"/>
    </xf>
    <xf numFmtId="3" fontId="25" fillId="0" borderId="87" xfId="113" applyNumberFormat="1" applyFont="1" applyFill="1" applyBorder="1" applyAlignment="1">
      <alignment horizontal="right" wrapText="1"/>
    </xf>
    <xf numFmtId="3" fontId="25" fillId="0" borderId="26" xfId="113" applyNumberFormat="1" applyFont="1" applyFill="1" applyBorder="1" applyAlignment="1">
      <alignment horizontal="right" wrapText="1"/>
    </xf>
    <xf numFmtId="3" fontId="26" fillId="0" borderId="44" xfId="106" applyNumberFormat="1" applyFont="1" applyBorder="1" applyAlignment="1">
      <alignment horizontal="right"/>
    </xf>
    <xf numFmtId="0" fontId="21" fillId="0" borderId="88" xfId="113" applyFont="1" applyBorder="1" applyAlignment="1">
      <alignment horizontal="center" vertical="center" wrapText="1"/>
    </xf>
    <xf numFmtId="0" fontId="25" fillId="0" borderId="81" xfId="113" applyFont="1" applyFill="1" applyBorder="1" applyAlignment="1">
      <alignment horizontal="center" vertical="center" wrapText="1"/>
    </xf>
    <xf numFmtId="0" fontId="21" fillId="0" borderId="89" xfId="113" applyFont="1" applyBorder="1" applyAlignment="1">
      <alignment horizontal="center" vertical="center" wrapText="1"/>
    </xf>
    <xf numFmtId="0" fontId="26" fillId="30" borderId="25" xfId="112" applyFont="1" applyFill="1" applyBorder="1" applyAlignment="1">
      <alignment wrapText="1"/>
    </xf>
    <xf numFmtId="3" fontId="26" fillId="0" borderId="61" xfId="106" applyNumberFormat="1" applyFont="1" applyBorder="1" applyAlignment="1">
      <alignment horizontal="right"/>
    </xf>
    <xf numFmtId="3" fontId="25" fillId="0" borderId="16" xfId="113" applyNumberFormat="1" applyFont="1" applyFill="1" applyBorder="1" applyAlignment="1">
      <alignment horizontal="right" vertical="center"/>
    </xf>
    <xf numFmtId="3" fontId="25" fillId="0" borderId="22" xfId="113" applyNumberFormat="1" applyFont="1" applyFill="1" applyBorder="1" applyAlignment="1">
      <alignment horizontal="right" vertical="center"/>
    </xf>
    <xf numFmtId="0" fontId="26" fillId="0" borderId="22" xfId="110" applyFont="1" applyFill="1" applyBorder="1" applyAlignment="1">
      <alignment horizontal="right" vertical="center" wrapText="1"/>
    </xf>
    <xf numFmtId="3" fontId="26" fillId="0" borderId="57" xfId="110" applyNumberFormat="1" applyFont="1" applyFill="1" applyBorder="1" applyAlignment="1">
      <alignment horizontal="right" vertical="center" wrapText="1"/>
    </xf>
    <xf numFmtId="3" fontId="26" fillId="0" borderId="44" xfId="110" applyNumberFormat="1" applyFont="1" applyFill="1" applyBorder="1" applyAlignment="1">
      <alignment horizontal="right" vertical="center" wrapText="1"/>
    </xf>
    <xf numFmtId="3" fontId="26" fillId="0" borderId="27" xfId="110" applyNumberFormat="1" applyFont="1" applyFill="1" applyBorder="1" applyAlignment="1">
      <alignment horizontal="right" vertical="center" wrapText="1"/>
    </xf>
    <xf numFmtId="3" fontId="26" fillId="0" borderId="66" xfId="110" applyNumberFormat="1" applyFont="1" applyFill="1" applyBorder="1" applyAlignment="1">
      <alignment horizontal="right" vertical="center" wrapText="1"/>
    </xf>
    <xf numFmtId="0" fontId="28" fillId="0" borderId="65" xfId="138" applyFont="1" applyBorder="1"/>
    <xf numFmtId="3" fontId="26" fillId="0" borderId="43" xfId="104" applyNumberFormat="1" applyFont="1" applyFill="1" applyBorder="1" applyAlignment="1">
      <alignment horizontal="right"/>
    </xf>
    <xf numFmtId="0" fontId="26" fillId="30" borderId="55" xfId="112" applyFont="1" applyFill="1" applyBorder="1" applyAlignment="1">
      <alignment wrapText="1"/>
    </xf>
    <xf numFmtId="3" fontId="26" fillId="0" borderId="87" xfId="104" applyNumberFormat="1" applyFont="1" applyFill="1" applyBorder="1"/>
    <xf numFmtId="3" fontId="26" fillId="0" borderId="44" xfId="104" applyNumberFormat="1" applyFont="1" applyFill="1" applyBorder="1"/>
    <xf numFmtId="3" fontId="25" fillId="0" borderId="23" xfId="104" applyNumberFormat="1" applyFont="1" applyBorder="1" applyAlignment="1">
      <alignment horizontal="right"/>
    </xf>
    <xf numFmtId="3" fontId="21" fillId="29" borderId="23" xfId="107" applyNumberFormat="1" applyFont="1" applyFill="1" applyBorder="1" applyAlignment="1">
      <alignment horizontal="right"/>
    </xf>
    <xf numFmtId="3" fontId="21" fillId="0" borderId="23" xfId="0" applyNumberFormat="1" applyFont="1" applyBorder="1" applyAlignment="1">
      <alignment horizontal="right"/>
    </xf>
    <xf numFmtId="3" fontId="20" fillId="0" borderId="23" xfId="0" applyNumberFormat="1" applyFont="1" applyBorder="1" applyAlignment="1">
      <alignment horizontal="right"/>
    </xf>
    <xf numFmtId="3" fontId="20" fillId="29" borderId="23" xfId="107" applyNumberFormat="1" applyFont="1" applyFill="1" applyBorder="1" applyAlignment="1">
      <alignment horizontal="right"/>
    </xf>
    <xf numFmtId="3" fontId="20" fillId="0" borderId="23" xfId="107" applyNumberFormat="1" applyFont="1" applyBorder="1"/>
    <xf numFmtId="3" fontId="20" fillId="0" borderId="23" xfId="107" applyNumberFormat="1" applyFont="1" applyFill="1" applyBorder="1"/>
    <xf numFmtId="3" fontId="21" fillId="0" borderId="23" xfId="107" applyNumberFormat="1" applyFont="1" applyBorder="1"/>
    <xf numFmtId="3" fontId="21" fillId="29" borderId="23" xfId="107" applyNumberFormat="1" applyFont="1" applyFill="1" applyBorder="1"/>
    <xf numFmtId="3" fontId="20" fillId="29" borderId="23" xfId="107" applyNumberFormat="1" applyFont="1" applyFill="1" applyBorder="1"/>
    <xf numFmtId="3" fontId="20" fillId="29" borderId="27" xfId="107" applyNumberFormat="1" applyFont="1" applyFill="1" applyBorder="1"/>
    <xf numFmtId="3" fontId="21" fillId="29" borderId="27" xfId="107" applyNumberFormat="1" applyFont="1" applyFill="1" applyBorder="1"/>
    <xf numFmtId="3" fontId="20" fillId="0" borderId="23" xfId="0" applyNumberFormat="1" applyFont="1" applyBorder="1"/>
    <xf numFmtId="3" fontId="21" fillId="0" borderId="23" xfId="0" applyNumberFormat="1" applyFont="1" applyBorder="1"/>
    <xf numFmtId="3" fontId="21" fillId="0" borderId="57" xfId="107" applyNumberFormat="1" applyFont="1" applyBorder="1"/>
    <xf numFmtId="3" fontId="21" fillId="29" borderId="16" xfId="107" applyNumberFormat="1" applyFont="1" applyFill="1" applyBorder="1" applyAlignment="1">
      <alignment horizontal="right"/>
    </xf>
    <xf numFmtId="3" fontId="21" fillId="0" borderId="16" xfId="0" applyNumberFormat="1" applyFont="1" applyBorder="1" applyAlignment="1">
      <alignment horizontal="right"/>
    </xf>
    <xf numFmtId="0" fontId="0" fillId="0" borderId="16" xfId="0" applyBorder="1"/>
    <xf numFmtId="3" fontId="21" fillId="0" borderId="16" xfId="107" applyNumberFormat="1" applyFont="1" applyBorder="1"/>
    <xf numFmtId="0" fontId="22" fillId="0" borderId="16" xfId="0" applyFont="1" applyBorder="1"/>
    <xf numFmtId="0" fontId="0" fillId="0" borderId="16" xfId="0" applyFont="1" applyBorder="1"/>
    <xf numFmtId="3" fontId="0" fillId="0" borderId="22" xfId="0" applyNumberFormat="1" applyBorder="1"/>
    <xf numFmtId="0" fontId="0" fillId="0" borderId="22" xfId="0" applyBorder="1"/>
    <xf numFmtId="0" fontId="22" fillId="0" borderId="22" xfId="0" applyFont="1" applyBorder="1"/>
    <xf numFmtId="0" fontId="0" fillId="0" borderId="22" xfId="0" applyFont="1" applyBorder="1"/>
    <xf numFmtId="3" fontId="21" fillId="0" borderId="19" xfId="107" applyNumberFormat="1" applyFont="1" applyBorder="1"/>
    <xf numFmtId="3" fontId="20" fillId="0" borderId="0" xfId="107" applyNumberFormat="1" applyFont="1" applyFill="1" applyBorder="1"/>
    <xf numFmtId="3" fontId="25" fillId="0" borderId="0" xfId="0" applyNumberFormat="1" applyFont="1" applyAlignment="1">
      <alignment horizontal="center"/>
    </xf>
    <xf numFmtId="3" fontId="20" fillId="0" borderId="0" xfId="0" applyNumberFormat="1" applyFont="1" applyFill="1"/>
    <xf numFmtId="2" fontId="25" fillId="0" borderId="0" xfId="0" applyNumberFormat="1" applyFont="1" applyAlignment="1">
      <alignment horizontal="center"/>
    </xf>
    <xf numFmtId="2" fontId="20" fillId="0" borderId="0" xfId="107" applyNumberFormat="1" applyFont="1" applyFill="1" applyBorder="1"/>
    <xf numFmtId="2" fontId="0" fillId="0" borderId="0" xfId="0" applyNumberFormat="1" applyFill="1"/>
    <xf numFmtId="2" fontId="20" fillId="0" borderId="0" xfId="0" applyNumberFormat="1" applyFont="1" applyFill="1"/>
    <xf numFmtId="3" fontId="20" fillId="0" borderId="23" xfId="107" applyNumberFormat="1" applyFont="1" applyFill="1" applyBorder="1" applyAlignment="1">
      <alignment vertical="center"/>
    </xf>
    <xf numFmtId="3" fontId="21" fillId="0" borderId="23" xfId="107" applyNumberFormat="1" applyFont="1" applyFill="1" applyBorder="1"/>
    <xf numFmtId="3" fontId="21" fillId="0" borderId="66" xfId="107" applyNumberFormat="1" applyFont="1" applyFill="1" applyBorder="1"/>
    <xf numFmtId="3" fontId="21" fillId="0" borderId="57" xfId="107" applyNumberFormat="1" applyFont="1" applyFill="1" applyBorder="1"/>
    <xf numFmtId="3" fontId="24" fillId="0" borderId="27" xfId="107" applyNumberFormat="1" applyFont="1" applyFill="1" applyBorder="1"/>
    <xf numFmtId="3" fontId="23" fillId="0" borderId="23" xfId="107" applyNumberFormat="1" applyFont="1" applyFill="1" applyBorder="1"/>
    <xf numFmtId="2" fontId="20" fillId="0" borderId="16" xfId="107" applyNumberFormat="1" applyFont="1" applyFill="1" applyBorder="1" applyAlignment="1">
      <alignment vertical="center"/>
    </xf>
    <xf numFmtId="3" fontId="20" fillId="0" borderId="16" xfId="107" applyNumberFormat="1" applyFont="1" applyFill="1" applyBorder="1" applyAlignment="1">
      <alignment vertical="center"/>
    </xf>
    <xf numFmtId="2" fontId="24" fillId="0" borderId="16" xfId="107" applyNumberFormat="1" applyFont="1" applyFill="1" applyBorder="1"/>
    <xf numFmtId="3" fontId="24" fillId="0" borderId="16" xfId="107" applyNumberFormat="1" applyFont="1" applyFill="1" applyBorder="1"/>
    <xf numFmtId="0" fontId="28" fillId="31" borderId="102" xfId="143" applyFont="1" applyFill="1" applyBorder="1" applyAlignment="1">
      <alignment vertical="center" wrapText="1"/>
    </xf>
    <xf numFmtId="0" fontId="28" fillId="31" borderId="0" xfId="0" applyFont="1" applyFill="1" applyAlignment="1"/>
    <xf numFmtId="0" fontId="47" fillId="31" borderId="102" xfId="143" applyFont="1" applyFill="1" applyBorder="1" applyAlignment="1">
      <alignment vertical="center" wrapText="1"/>
    </xf>
    <xf numFmtId="0" fontId="0" fillId="31" borderId="102" xfId="143" applyFont="1" applyFill="1" applyBorder="1" applyAlignment="1">
      <alignment vertical="center" wrapText="1"/>
    </xf>
    <xf numFmtId="0" fontId="36" fillId="31" borderId="102" xfId="143" applyFont="1" applyFill="1" applyBorder="1" applyAlignment="1">
      <alignment vertical="center" wrapText="1"/>
    </xf>
    <xf numFmtId="0" fontId="28" fillId="31" borderId="119" xfId="143" applyFont="1" applyFill="1" applyBorder="1" applyAlignment="1">
      <alignment vertical="center" wrapText="1"/>
    </xf>
    <xf numFmtId="0" fontId="0" fillId="31" borderId="122" xfId="143" applyFont="1" applyFill="1" applyBorder="1" applyAlignment="1">
      <alignment vertical="center" wrapText="1"/>
    </xf>
    <xf numFmtId="3" fontId="36" fillId="0" borderId="102" xfId="143" applyNumberFormat="1" applyFont="1" applyFill="1" applyBorder="1" applyAlignment="1">
      <alignment horizontal="right" vertical="center"/>
    </xf>
    <xf numFmtId="0" fontId="36" fillId="0" borderId="102" xfId="143" applyFont="1" applyFill="1" applyBorder="1" applyAlignment="1">
      <alignment horizontal="right" vertical="center" wrapText="1"/>
    </xf>
    <xf numFmtId="0" fontId="36" fillId="0" borderId="103" xfId="143" applyFont="1" applyFill="1" applyBorder="1" applyAlignment="1">
      <alignment horizontal="right" vertical="center"/>
    </xf>
    <xf numFmtId="0" fontId="36" fillId="0" borderId="16" xfId="143" applyFont="1" applyFill="1" applyBorder="1" applyAlignment="1">
      <alignment horizontal="right" vertical="center"/>
    </xf>
    <xf numFmtId="0" fontId="36" fillId="0" borderId="103" xfId="143" applyFont="1" applyFill="1" applyBorder="1" applyAlignment="1">
      <alignment horizontal="right" vertical="center" wrapText="1"/>
    </xf>
    <xf numFmtId="3" fontId="28" fillId="0" borderId="102" xfId="143" applyNumberFormat="1" applyFont="1" applyFill="1" applyBorder="1" applyAlignment="1">
      <alignment horizontal="right" vertical="center"/>
    </xf>
    <xf numFmtId="3" fontId="28" fillId="0" borderId="103" xfId="143" applyNumberFormat="1" applyFont="1" applyFill="1" applyBorder="1" applyAlignment="1">
      <alignment horizontal="right" vertical="center"/>
    </xf>
    <xf numFmtId="3" fontId="28" fillId="0" borderId="16" xfId="0" applyNumberFormat="1" applyFont="1" applyBorder="1" applyAlignment="1">
      <alignment horizontal="right" vertical="center"/>
    </xf>
    <xf numFmtId="3" fontId="28" fillId="0" borderId="102" xfId="143" applyNumberFormat="1" applyFont="1" applyFill="1" applyBorder="1" applyAlignment="1">
      <alignment horizontal="right" vertical="center" wrapText="1"/>
    </xf>
    <xf numFmtId="0" fontId="28" fillId="0" borderId="119" xfId="143" applyFont="1" applyFill="1" applyBorder="1" applyAlignment="1">
      <alignment horizontal="right" vertical="center"/>
    </xf>
    <xf numFmtId="0" fontId="28" fillId="0" borderId="119" xfId="143" applyFont="1" applyFill="1" applyBorder="1" applyAlignment="1">
      <alignment horizontal="right" vertical="center" wrapText="1"/>
    </xf>
    <xf numFmtId="0" fontId="28" fillId="0" borderId="10" xfId="143" applyFont="1" applyFill="1" applyBorder="1" applyAlignment="1">
      <alignment horizontal="right" vertical="center"/>
    </xf>
    <xf numFmtId="0" fontId="28" fillId="0" borderId="0" xfId="0" applyFont="1" applyBorder="1" applyAlignment="1">
      <alignment horizontal="right" vertical="center"/>
    </xf>
    <xf numFmtId="3" fontId="28" fillId="0" borderId="103" xfId="143" applyNumberFormat="1" applyFont="1" applyFill="1" applyBorder="1" applyAlignment="1">
      <alignment horizontal="right" vertical="center" wrapText="1"/>
    </xf>
    <xf numFmtId="3" fontId="28" fillId="0" borderId="16" xfId="143" applyNumberFormat="1" applyFont="1" applyFill="1" applyBorder="1" applyAlignment="1">
      <alignment horizontal="right" vertical="center"/>
    </xf>
    <xf numFmtId="3" fontId="28" fillId="0" borderId="122" xfId="143" applyNumberFormat="1" applyFont="1" applyFill="1" applyBorder="1" applyAlignment="1">
      <alignment horizontal="right" vertical="center"/>
    </xf>
    <xf numFmtId="3" fontId="28" fillId="0" borderId="108" xfId="143" applyNumberFormat="1" applyFont="1" applyFill="1" applyBorder="1" applyAlignment="1">
      <alignment horizontal="right" vertical="center" wrapText="1"/>
    </xf>
    <xf numFmtId="3" fontId="36" fillId="0" borderId="99" xfId="143" applyNumberFormat="1" applyFont="1" applyFill="1" applyBorder="1" applyAlignment="1">
      <alignment horizontal="right" vertical="center"/>
    </xf>
    <xf numFmtId="0" fontId="21" fillId="0" borderId="41" xfId="113" applyFont="1" applyBorder="1" applyAlignment="1">
      <alignment horizontal="center" vertical="center" wrapText="1"/>
    </xf>
    <xf numFmtId="0" fontId="25" fillId="0" borderId="0" xfId="110" applyFont="1" applyFill="1" applyBorder="1" applyAlignment="1">
      <alignment horizontal="center" wrapText="1"/>
    </xf>
    <xf numFmtId="4" fontId="20" fillId="29" borderId="27" xfId="113" applyNumberFormat="1" applyFont="1" applyFill="1" applyBorder="1" applyAlignment="1">
      <alignment horizontal="right" wrapText="1"/>
    </xf>
    <xf numFmtId="3" fontId="20" fillId="29" borderId="27" xfId="113" applyNumberFormat="1" applyFont="1" applyFill="1" applyBorder="1"/>
    <xf numFmtId="3" fontId="26" fillId="0" borderId="66" xfId="113" applyNumberFormat="1" applyFont="1" applyFill="1" applyBorder="1" applyAlignment="1">
      <alignment horizontal="right" wrapText="1"/>
    </xf>
    <xf numFmtId="3" fontId="26" fillId="0" borderId="19" xfId="106" applyNumberFormat="1" applyFont="1" applyBorder="1" applyAlignment="1">
      <alignment horizontal="right"/>
    </xf>
    <xf numFmtId="3" fontId="26" fillId="0" borderId="26" xfId="106" applyNumberFormat="1" applyFont="1" applyBorder="1" applyAlignment="1">
      <alignment horizontal="right"/>
    </xf>
    <xf numFmtId="0" fontId="21" fillId="0" borderId="33" xfId="113" applyFont="1" applyBorder="1" applyAlignment="1">
      <alignment horizontal="center" vertical="center" wrapText="1"/>
    </xf>
    <xf numFmtId="3" fontId="22" fillId="29" borderId="16" xfId="113" applyNumberFormat="1" applyFont="1" applyFill="1" applyBorder="1"/>
    <xf numFmtId="3" fontId="26" fillId="31" borderId="21" xfId="106" applyNumberFormat="1" applyFont="1" applyFill="1" applyBorder="1" applyAlignment="1">
      <alignment horizontal="left" wrapText="1"/>
    </xf>
    <xf numFmtId="3" fontId="26" fillId="0" borderId="19" xfId="110" applyNumberFormat="1" applyFont="1" applyFill="1" applyBorder="1" applyAlignment="1">
      <alignment horizontal="right" vertical="center" wrapText="1"/>
    </xf>
    <xf numFmtId="3" fontId="26" fillId="0" borderId="26" xfId="110" applyNumberFormat="1" applyFont="1" applyFill="1" applyBorder="1" applyAlignment="1">
      <alignment horizontal="right" vertical="center" wrapText="1"/>
    </xf>
    <xf numFmtId="3" fontId="26" fillId="0" borderId="40" xfId="110" applyNumberFormat="1" applyFont="1" applyFill="1" applyBorder="1" applyAlignment="1">
      <alignment horizontal="right" vertical="center" wrapText="1"/>
    </xf>
    <xf numFmtId="3" fontId="26" fillId="0" borderId="62" xfId="110" applyNumberFormat="1" applyFont="1" applyFill="1" applyBorder="1" applyAlignment="1">
      <alignment horizontal="right" vertical="center" wrapText="1"/>
    </xf>
    <xf numFmtId="3" fontId="26" fillId="0" borderId="19" xfId="104" applyNumberFormat="1" applyFont="1" applyFill="1" applyBorder="1"/>
    <xf numFmtId="3" fontId="25" fillId="0" borderId="16" xfId="104" applyNumberFormat="1" applyFont="1" applyFill="1" applyBorder="1"/>
    <xf numFmtId="3" fontId="26" fillId="31" borderId="17" xfId="106" applyNumberFormat="1" applyFont="1" applyFill="1" applyBorder="1" applyAlignment="1">
      <alignment horizontal="left" wrapText="1"/>
    </xf>
    <xf numFmtId="3" fontId="26" fillId="0" borderId="50" xfId="113" applyNumberFormat="1" applyFont="1" applyBorder="1"/>
    <xf numFmtId="3" fontId="22" fillId="29" borderId="0" xfId="113" applyNumberFormat="1" applyFont="1" applyFill="1"/>
    <xf numFmtId="3" fontId="26" fillId="0" borderId="40" xfId="104" applyNumberFormat="1" applyFont="1" applyFill="1" applyBorder="1" applyAlignment="1">
      <alignment horizontal="right"/>
    </xf>
    <xf numFmtId="3" fontId="26" fillId="0" borderId="89" xfId="104" applyNumberFormat="1" applyFont="1" applyFill="1" applyBorder="1"/>
    <xf numFmtId="3" fontId="26" fillId="0" borderId="62" xfId="104" applyNumberFormat="1" applyFont="1" applyFill="1" applyBorder="1"/>
    <xf numFmtId="3" fontId="26" fillId="0" borderId="16" xfId="106" applyNumberFormat="1" applyFont="1" applyBorder="1" applyAlignment="1">
      <alignment horizontal="right" wrapText="1"/>
    </xf>
    <xf numFmtId="3" fontId="26" fillId="0" borderId="62" xfId="104" applyNumberFormat="1" applyFont="1" applyFill="1" applyBorder="1" applyAlignment="1">
      <alignment horizontal="right"/>
    </xf>
    <xf numFmtId="3" fontId="26" fillId="0" borderId="19" xfId="104" applyNumberFormat="1" applyFont="1" applyFill="1" applyBorder="1" applyAlignment="1">
      <alignment horizontal="right"/>
    </xf>
    <xf numFmtId="0" fontId="28" fillId="0" borderId="0" xfId="113" applyFont="1" applyAlignment="1">
      <alignment horizontal="center"/>
    </xf>
    <xf numFmtId="0" fontId="21" fillId="0" borderId="69" xfId="106" applyFont="1" applyBorder="1" applyAlignment="1">
      <alignment wrapText="1"/>
    </xf>
    <xf numFmtId="0" fontId="20" fillId="0" borderId="126" xfId="106" applyFont="1" applyBorder="1" applyAlignment="1">
      <alignment wrapText="1"/>
    </xf>
    <xf numFmtId="0" fontId="20" fillId="0" borderId="15" xfId="106" applyFont="1" applyBorder="1" applyAlignment="1">
      <alignment wrapText="1"/>
    </xf>
    <xf numFmtId="3" fontId="20" fillId="0" borderId="51" xfId="106" applyNumberFormat="1" applyFont="1" applyBorder="1" applyAlignment="1">
      <alignment horizontal="right"/>
    </xf>
    <xf numFmtId="3" fontId="20" fillId="0" borderId="57" xfId="106" applyNumberFormat="1" applyFont="1" applyBorder="1" applyAlignment="1">
      <alignment horizontal="right"/>
    </xf>
    <xf numFmtId="3" fontId="20" fillId="0" borderId="43" xfId="106" applyNumberFormat="1" applyFont="1" applyBorder="1" applyAlignment="1">
      <alignment horizontal="right"/>
    </xf>
    <xf numFmtId="0" fontId="0" fillId="0" borderId="14" xfId="138" applyFont="1" applyBorder="1" applyAlignment="1">
      <alignment wrapText="1"/>
    </xf>
    <xf numFmtId="0" fontId="21" fillId="0" borderId="102" xfId="142" applyFont="1" applyFill="1" applyBorder="1" applyAlignment="1">
      <alignment horizontal="center" vertical="center" wrapText="1"/>
    </xf>
    <xf numFmtId="3" fontId="20" fillId="0" borderId="102" xfId="141" applyNumberFormat="1" applyFont="1" applyFill="1" applyBorder="1"/>
    <xf numFmtId="0" fontId="21" fillId="0" borderId="41" xfId="106" applyFont="1" applyBorder="1" applyAlignment="1">
      <alignment horizontal="center" vertical="center" wrapText="1"/>
    </xf>
    <xf numFmtId="0" fontId="42" fillId="0" borderId="0" xfId="0" applyFont="1"/>
    <xf numFmtId="0" fontId="28" fillId="31" borderId="103" xfId="143" applyFont="1" applyFill="1" applyBorder="1" applyAlignment="1">
      <alignment vertical="center" wrapText="1"/>
    </xf>
    <xf numFmtId="3" fontId="28" fillId="0" borderId="16" xfId="143" applyNumberFormat="1" applyFont="1" applyFill="1" applyBorder="1" applyAlignment="1">
      <alignment vertical="center"/>
    </xf>
    <xf numFmtId="3" fontId="28" fillId="0" borderId="16" xfId="143" applyNumberFormat="1" applyFont="1" applyFill="1" applyBorder="1" applyAlignment="1">
      <alignment vertical="center" wrapText="1"/>
    </xf>
    <xf numFmtId="0" fontId="0" fillId="31" borderId="103" xfId="143" applyFont="1" applyFill="1" applyBorder="1" applyAlignment="1">
      <alignment vertical="center" wrapText="1"/>
    </xf>
    <xf numFmtId="0" fontId="36" fillId="31" borderId="103" xfId="143" applyFont="1" applyFill="1" applyBorder="1" applyAlignment="1">
      <alignment vertical="center" wrapText="1"/>
    </xf>
    <xf numFmtId="3" fontId="36" fillId="0" borderId="16" xfId="143" applyNumberFormat="1" applyFont="1" applyFill="1" applyBorder="1" applyAlignment="1">
      <alignment vertical="center"/>
    </xf>
    <xf numFmtId="0" fontId="28" fillId="0" borderId="0" xfId="143" applyFont="1" applyFill="1" applyBorder="1" applyAlignment="1">
      <alignment vertical="center"/>
    </xf>
    <xf numFmtId="0" fontId="28" fillId="0" borderId="0" xfId="143" applyFont="1" applyFill="1" applyBorder="1" applyAlignment="1">
      <alignment vertical="center" wrapText="1"/>
    </xf>
    <xf numFmtId="0" fontId="47" fillId="31" borderId="103" xfId="143" applyFont="1" applyFill="1" applyBorder="1" applyAlignment="1">
      <alignment vertical="center" wrapText="1"/>
    </xf>
    <xf numFmtId="3" fontId="36" fillId="0" borderId="16" xfId="143" applyNumberFormat="1" applyFont="1" applyFill="1" applyBorder="1" applyAlignment="1">
      <alignment horizontal="right" vertical="center"/>
    </xf>
    <xf numFmtId="0" fontId="36" fillId="0" borderId="16" xfId="143" applyFont="1" applyFill="1" applyBorder="1" applyAlignment="1">
      <alignment horizontal="right" vertical="center" wrapText="1"/>
    </xf>
    <xf numFmtId="3" fontId="28" fillId="0" borderId="99" xfId="143" applyNumberFormat="1" applyFont="1" applyFill="1" applyBorder="1" applyAlignment="1">
      <alignment vertical="center"/>
    </xf>
    <xf numFmtId="3" fontId="28" fillId="0" borderId="96" xfId="143" applyNumberFormat="1" applyFont="1" applyFill="1" applyBorder="1" applyAlignment="1">
      <alignment vertical="center" wrapText="1"/>
    </xf>
    <xf numFmtId="3" fontId="28" fillId="0" borderId="40" xfId="143" applyNumberFormat="1" applyFont="1" applyFill="1" applyBorder="1" applyAlignment="1">
      <alignment vertical="center"/>
    </xf>
    <xf numFmtId="3" fontId="28" fillId="0" borderId="102" xfId="143" applyNumberFormat="1" applyFont="1" applyFill="1" applyBorder="1" applyAlignment="1">
      <alignment vertical="center"/>
    </xf>
    <xf numFmtId="3" fontId="28" fillId="0" borderId="103" xfId="143" applyNumberFormat="1" applyFont="1" applyFill="1" applyBorder="1" applyAlignment="1">
      <alignment vertical="center" wrapText="1"/>
    </xf>
    <xf numFmtId="3" fontId="28" fillId="0" borderId="122" xfId="143" applyNumberFormat="1" applyFont="1" applyFill="1" applyBorder="1" applyAlignment="1">
      <alignment vertical="center"/>
    </xf>
    <xf numFmtId="3" fontId="28" fillId="0" borderId="108" xfId="143" applyNumberFormat="1" applyFont="1" applyFill="1" applyBorder="1" applyAlignment="1">
      <alignment vertical="center" wrapText="1"/>
    </xf>
    <xf numFmtId="0" fontId="36" fillId="31" borderId="99" xfId="143" applyFont="1" applyFill="1" applyBorder="1" applyAlignment="1">
      <alignment vertical="center" wrapText="1"/>
    </xf>
    <xf numFmtId="3" fontId="36" fillId="0" borderId="99" xfId="143" applyNumberFormat="1" applyFont="1" applyFill="1" applyBorder="1" applyAlignment="1">
      <alignment vertical="center"/>
    </xf>
    <xf numFmtId="0" fontId="0" fillId="0" borderId="0" xfId="0" applyAlignment="1">
      <alignment vertical="center"/>
    </xf>
    <xf numFmtId="3" fontId="0" fillId="0" borderId="0" xfId="0" applyNumberFormat="1" applyAlignment="1">
      <alignment vertical="center"/>
    </xf>
    <xf numFmtId="0" fontId="28" fillId="0" borderId="0" xfId="0" applyFont="1" applyAlignment="1">
      <alignment vertical="center"/>
    </xf>
    <xf numFmtId="0" fontId="26" fillId="0" borderId="15" xfId="106" applyFont="1" applyFill="1" applyBorder="1" applyAlignment="1">
      <alignment horizontal="left" vertical="center" wrapText="1"/>
    </xf>
    <xf numFmtId="3" fontId="26" fillId="0" borderId="57" xfId="104" applyNumberFormat="1" applyFont="1" applyFill="1" applyBorder="1" applyAlignment="1">
      <alignment horizontal="right"/>
    </xf>
    <xf numFmtId="3" fontId="25" fillId="0" borderId="19" xfId="104" applyNumberFormat="1" applyFont="1" applyFill="1" applyBorder="1"/>
    <xf numFmtId="0" fontId="50" fillId="31" borderId="28" xfId="0" applyFont="1" applyFill="1" applyBorder="1" applyAlignment="1">
      <alignment wrapText="1"/>
    </xf>
    <xf numFmtId="3" fontId="21" fillId="0" borderId="27" xfId="107" applyNumberFormat="1" applyFont="1" applyFill="1" applyBorder="1"/>
    <xf numFmtId="3" fontId="21" fillId="0" borderId="22" xfId="107" applyNumberFormat="1" applyFont="1" applyFill="1" applyBorder="1"/>
    <xf numFmtId="3" fontId="23" fillId="0" borderId="22" xfId="107" applyNumberFormat="1" applyFont="1" applyFill="1" applyBorder="1"/>
    <xf numFmtId="3" fontId="21" fillId="0" borderId="43" xfId="107" applyNumberFormat="1" applyFont="1" applyFill="1" applyBorder="1"/>
    <xf numFmtId="0" fontId="21" fillId="0" borderId="51" xfId="107" applyFont="1" applyFill="1" applyBorder="1" applyAlignment="1">
      <alignment horizontal="center"/>
    </xf>
    <xf numFmtId="3" fontId="20" fillId="0" borderId="57" xfId="107" applyNumberFormat="1" applyFont="1" applyFill="1" applyBorder="1"/>
    <xf numFmtId="3" fontId="0" fillId="0" borderId="22" xfId="0" applyNumberFormat="1" applyFont="1" applyBorder="1" applyAlignment="1">
      <alignment wrapText="1"/>
    </xf>
    <xf numFmtId="3" fontId="22" fillId="0" borderId="22" xfId="0" applyNumberFormat="1" applyFont="1" applyBorder="1" applyAlignment="1">
      <alignment wrapText="1"/>
    </xf>
    <xf numFmtId="0" fontId="21" fillId="0" borderId="0" xfId="113" applyFont="1" applyBorder="1" applyAlignment="1">
      <alignment horizontal="center"/>
    </xf>
    <xf numFmtId="0" fontId="25" fillId="0" borderId="0" xfId="110" applyFont="1" applyFill="1" applyBorder="1" applyAlignment="1">
      <alignment horizontal="center" wrapText="1"/>
    </xf>
    <xf numFmtId="0" fontId="21" fillId="0" borderId="38" xfId="113" applyFont="1" applyBorder="1" applyAlignment="1">
      <alignment horizontal="center" vertical="center" wrapText="1"/>
    </xf>
    <xf numFmtId="3" fontId="26" fillId="0" borderId="23" xfId="113" applyNumberFormat="1" applyFont="1" applyBorder="1"/>
    <xf numFmtId="0" fontId="26" fillId="0" borderId="23" xfId="113" applyFont="1" applyBorder="1"/>
    <xf numFmtId="3" fontId="0" fillId="0" borderId="23" xfId="0" applyNumberFormat="1" applyBorder="1"/>
    <xf numFmtId="0" fontId="0" fillId="0" borderId="23" xfId="0" applyBorder="1"/>
    <xf numFmtId="0" fontId="22" fillId="0" borderId="23" xfId="0" applyFont="1" applyBorder="1"/>
    <xf numFmtId="0" fontId="0" fillId="0" borderId="23" xfId="0" applyFont="1" applyBorder="1"/>
    <xf numFmtId="3" fontId="0" fillId="0" borderId="17" xfId="0" applyNumberFormat="1" applyBorder="1"/>
    <xf numFmtId="3" fontId="20" fillId="0" borderId="17" xfId="0" applyNumberFormat="1" applyFont="1" applyBorder="1" applyAlignment="1">
      <alignment horizontal="right"/>
    </xf>
    <xf numFmtId="3" fontId="20" fillId="29" borderId="17" xfId="107" applyNumberFormat="1" applyFont="1" applyFill="1" applyBorder="1" applyAlignment="1">
      <alignment horizontal="right"/>
    </xf>
    <xf numFmtId="3" fontId="20" fillId="0" borderId="17" xfId="0" applyNumberFormat="1" applyFont="1" applyBorder="1"/>
    <xf numFmtId="3" fontId="21" fillId="29" borderId="17" xfId="107" applyNumberFormat="1" applyFont="1" applyFill="1" applyBorder="1" applyAlignment="1">
      <alignment horizontal="right"/>
    </xf>
    <xf numFmtId="3" fontId="21" fillId="0" borderId="17" xfId="0" applyNumberFormat="1" applyFont="1" applyBorder="1" applyAlignment="1">
      <alignment horizontal="right"/>
    </xf>
    <xf numFmtId="3" fontId="20" fillId="0" borderId="17" xfId="107" applyNumberFormat="1" applyFont="1" applyBorder="1"/>
    <xf numFmtId="3" fontId="21" fillId="29" borderId="17" xfId="107" applyNumberFormat="1" applyFont="1" applyFill="1" applyBorder="1"/>
    <xf numFmtId="3" fontId="21" fillId="0" borderId="17" xfId="107" applyNumberFormat="1" applyFont="1" applyBorder="1"/>
    <xf numFmtId="3" fontId="24" fillId="0" borderId="23" xfId="107" applyNumberFormat="1" applyFont="1" applyFill="1" applyBorder="1"/>
    <xf numFmtId="3" fontId="0" fillId="0" borderId="23" xfId="0" applyNumberFormat="1" applyFont="1" applyBorder="1" applyAlignment="1">
      <alignment wrapText="1"/>
    </xf>
    <xf numFmtId="3" fontId="22" fillId="0" borderId="23" xfId="0" applyNumberFormat="1" applyFont="1" applyBorder="1" applyAlignment="1">
      <alignment wrapText="1"/>
    </xf>
    <xf numFmtId="3" fontId="21" fillId="0" borderId="23" xfId="107" applyNumberFormat="1" applyFont="1" applyFill="1" applyBorder="1" applyAlignment="1">
      <alignment vertical="center"/>
    </xf>
    <xf numFmtId="3" fontId="0" fillId="0" borderId="17" xfId="0" applyNumberFormat="1" applyFill="1" applyBorder="1"/>
    <xf numFmtId="3" fontId="22" fillId="0" borderId="22" xfId="0" applyNumberFormat="1" applyFont="1" applyBorder="1" applyAlignment="1">
      <alignment vertical="center" wrapText="1"/>
    </xf>
    <xf numFmtId="3" fontId="0" fillId="0" borderId="43" xfId="0" applyNumberFormat="1" applyFont="1" applyBorder="1" applyAlignment="1">
      <alignment wrapText="1"/>
    </xf>
    <xf numFmtId="3" fontId="21" fillId="0" borderId="24" xfId="107" applyNumberFormat="1" applyFont="1" applyFill="1" applyBorder="1"/>
    <xf numFmtId="3" fontId="20" fillId="0" borderId="64" xfId="113" applyNumberFormat="1" applyFont="1" applyBorder="1" applyAlignment="1">
      <alignment horizontal="right" vertical="center"/>
    </xf>
    <xf numFmtId="3" fontId="21" fillId="0" borderId="43" xfId="113" applyNumberFormat="1" applyFont="1" applyBorder="1" applyAlignment="1">
      <alignment horizontal="right" vertical="center"/>
    </xf>
    <xf numFmtId="3" fontId="21" fillId="0" borderId="64" xfId="113" applyNumberFormat="1" applyFont="1" applyBorder="1" applyAlignment="1">
      <alignment horizontal="right" vertical="center"/>
    </xf>
    <xf numFmtId="3" fontId="21" fillId="0" borderId="22" xfId="113" applyNumberFormat="1" applyFont="1" applyBorder="1" applyAlignment="1">
      <alignment horizontal="right" vertical="center"/>
    </xf>
    <xf numFmtId="3" fontId="21" fillId="0" borderId="23" xfId="113" applyNumberFormat="1" applyFont="1" applyBorder="1" applyAlignment="1">
      <alignment horizontal="right" vertical="center"/>
    </xf>
    <xf numFmtId="3" fontId="21" fillId="29" borderId="23" xfId="113" applyNumberFormat="1" applyFont="1" applyFill="1" applyBorder="1" applyAlignment="1">
      <alignment vertical="center"/>
    </xf>
    <xf numFmtId="3" fontId="21" fillId="29" borderId="43" xfId="113" applyNumberFormat="1" applyFont="1" applyFill="1" applyBorder="1" applyAlignment="1">
      <alignment vertical="center"/>
    </xf>
    <xf numFmtId="3" fontId="20" fillId="29" borderId="64" xfId="113" applyNumberFormat="1" applyFont="1" applyFill="1" applyBorder="1" applyAlignment="1">
      <alignment vertical="center"/>
    </xf>
    <xf numFmtId="3" fontId="21" fillId="29" borderId="64" xfId="113" applyNumberFormat="1" applyFont="1" applyFill="1" applyBorder="1" applyAlignment="1">
      <alignment vertical="center"/>
    </xf>
    <xf numFmtId="3" fontId="21" fillId="0" borderId="40" xfId="113" applyNumberFormat="1" applyFont="1" applyBorder="1" applyAlignment="1">
      <alignment horizontal="right" vertical="center"/>
    </xf>
    <xf numFmtId="3" fontId="21" fillId="0" borderId="34" xfId="113" applyNumberFormat="1" applyFont="1" applyBorder="1" applyAlignment="1">
      <alignment horizontal="right" vertical="center"/>
    </xf>
    <xf numFmtId="3" fontId="22" fillId="0" borderId="0" xfId="106" applyNumberFormat="1" applyFont="1" applyAlignment="1">
      <alignment vertical="center"/>
    </xf>
    <xf numFmtId="3" fontId="20" fillId="0" borderId="64" xfId="113" applyNumberFormat="1" applyFont="1" applyBorder="1" applyAlignment="1">
      <alignment vertical="center"/>
    </xf>
    <xf numFmtId="3" fontId="21" fillId="0" borderId="64" xfId="113" applyNumberFormat="1" applyFont="1" applyBorder="1" applyAlignment="1">
      <alignment vertical="center"/>
    </xf>
    <xf numFmtId="0" fontId="20" fillId="0" borderId="72" xfId="113" applyFont="1" applyBorder="1" applyAlignment="1">
      <alignment wrapText="1"/>
    </xf>
    <xf numFmtId="0" fontId="20" fillId="0" borderId="72" xfId="113" applyFont="1" applyFill="1" applyBorder="1" applyAlignment="1">
      <alignment wrapText="1"/>
    </xf>
    <xf numFmtId="0" fontId="21" fillId="0" borderId="72" xfId="113" applyFont="1" applyBorder="1" applyAlignment="1">
      <alignment wrapText="1"/>
    </xf>
    <xf numFmtId="3" fontId="20" fillId="0" borderId="72" xfId="113" applyNumberFormat="1" applyFont="1" applyFill="1" applyBorder="1" applyAlignment="1">
      <alignment wrapText="1"/>
    </xf>
    <xf numFmtId="0" fontId="21" fillId="0" borderId="93" xfId="113" applyFont="1" applyBorder="1" applyAlignment="1">
      <alignment wrapText="1"/>
    </xf>
    <xf numFmtId="0" fontId="20" fillId="0" borderId="80" xfId="113" applyFont="1" applyBorder="1" applyAlignment="1">
      <alignment wrapText="1"/>
    </xf>
    <xf numFmtId="0" fontId="21" fillId="0" borderId="80" xfId="113" applyFont="1" applyBorder="1"/>
    <xf numFmtId="0" fontId="20" fillId="29" borderId="129" xfId="113" applyFont="1" applyFill="1" applyBorder="1" applyAlignment="1">
      <alignment wrapText="1"/>
    </xf>
    <xf numFmtId="0" fontId="20" fillId="0" borderId="64" xfId="113" applyFont="1" applyFill="1" applyBorder="1"/>
    <xf numFmtId="3" fontId="21" fillId="0" borderId="23" xfId="113" applyNumberFormat="1" applyFont="1" applyBorder="1" applyAlignment="1">
      <alignment horizontal="right"/>
    </xf>
    <xf numFmtId="3" fontId="21" fillId="0" borderId="22" xfId="113" applyNumberFormat="1" applyFont="1" applyBorder="1" applyAlignment="1">
      <alignment horizontal="right"/>
    </xf>
    <xf numFmtId="0" fontId="21" fillId="0" borderId="23" xfId="113" applyFont="1" applyFill="1" applyBorder="1"/>
    <xf numFmtId="3" fontId="21" fillId="0" borderId="43" xfId="113" applyNumberFormat="1" applyFont="1" applyBorder="1" applyAlignment="1">
      <alignment horizontal="right"/>
    </xf>
    <xf numFmtId="0" fontId="21" fillId="0" borderId="43" xfId="113" applyFont="1" applyFill="1" applyBorder="1"/>
    <xf numFmtId="0" fontId="21" fillId="0" borderId="64" xfId="113" applyFont="1" applyFill="1" applyBorder="1"/>
    <xf numFmtId="3" fontId="22" fillId="0" borderId="34" xfId="113" applyNumberFormat="1" applyFont="1" applyBorder="1"/>
    <xf numFmtId="3" fontId="25" fillId="0" borderId="22" xfId="106" applyNumberFormat="1" applyFont="1" applyBorder="1"/>
    <xf numFmtId="0" fontId="26" fillId="0" borderId="43" xfId="110" applyFont="1" applyFill="1" applyBorder="1" applyAlignment="1">
      <alignment horizontal="right" vertical="center" wrapText="1"/>
    </xf>
    <xf numFmtId="3" fontId="25" fillId="0" borderId="43" xfId="110" applyNumberFormat="1" applyFont="1" applyFill="1" applyBorder="1" applyAlignment="1">
      <alignment horizontal="right" vertical="center" wrapText="1"/>
    </xf>
    <xf numFmtId="3" fontId="21" fillId="0" borderId="42" xfId="106" applyNumberFormat="1" applyFont="1" applyBorder="1" applyAlignment="1">
      <alignment horizontal="right"/>
    </xf>
    <xf numFmtId="3" fontId="21" fillId="0" borderId="64" xfId="106" applyNumberFormat="1" applyFont="1" applyBorder="1" applyAlignment="1">
      <alignment horizontal="right"/>
    </xf>
    <xf numFmtId="3" fontId="22" fillId="0" borderId="23" xfId="0" applyNumberFormat="1" applyFont="1" applyBorder="1"/>
    <xf numFmtId="3" fontId="0" fillId="0" borderId="17" xfId="0" applyNumberFormat="1" applyFont="1" applyBorder="1"/>
    <xf numFmtId="3" fontId="0" fillId="0" borderId="22" xfId="0" applyNumberFormat="1" applyFont="1" applyBorder="1"/>
    <xf numFmtId="3" fontId="22" fillId="0" borderId="17" xfId="0" applyNumberFormat="1" applyFont="1" applyBorder="1"/>
    <xf numFmtId="3" fontId="22" fillId="0" borderId="22" xfId="0" applyNumberFormat="1" applyFont="1" applyBorder="1"/>
    <xf numFmtId="3" fontId="21" fillId="0" borderId="17" xfId="0" applyNumberFormat="1" applyFont="1" applyBorder="1"/>
    <xf numFmtId="3" fontId="21" fillId="0" borderId="22" xfId="0" applyNumberFormat="1" applyFont="1" applyBorder="1"/>
    <xf numFmtId="3" fontId="0" fillId="0" borderId="24" xfId="0" applyNumberFormat="1" applyFill="1" applyBorder="1"/>
    <xf numFmtId="2" fontId="20" fillId="0" borderId="62" xfId="107" applyNumberFormat="1" applyFont="1" applyFill="1" applyBorder="1"/>
    <xf numFmtId="3" fontId="20" fillId="0" borderId="62" xfId="107" applyNumberFormat="1" applyFont="1" applyFill="1" applyBorder="1"/>
    <xf numFmtId="3" fontId="20" fillId="0" borderId="66" xfId="107" applyNumberFormat="1" applyFont="1" applyFill="1" applyBorder="1"/>
    <xf numFmtId="0" fontId="20" fillId="0" borderId="21" xfId="107" applyNumberFormat="1" applyFont="1" applyFill="1" applyBorder="1" applyAlignment="1">
      <alignment horizontal="center"/>
    </xf>
    <xf numFmtId="2" fontId="20" fillId="0" borderId="23" xfId="107" applyNumberFormat="1" applyFont="1" applyFill="1" applyBorder="1"/>
    <xf numFmtId="0" fontId="28" fillId="0" borderId="0" xfId="144" applyFont="1"/>
    <xf numFmtId="0" fontId="26" fillId="0" borderId="0" xfId="144" applyFont="1" applyAlignment="1">
      <alignment horizontal="justify" wrapText="1"/>
    </xf>
    <xf numFmtId="0" fontId="28" fillId="0" borderId="0" xfId="144" applyFont="1" applyAlignment="1">
      <alignment wrapText="1"/>
    </xf>
    <xf numFmtId="0" fontId="22" fillId="0" borderId="0" xfId="144" applyFont="1"/>
    <xf numFmtId="3" fontId="28" fillId="0" borderId="0" xfId="144" applyNumberFormat="1" applyFont="1"/>
    <xf numFmtId="0" fontId="28" fillId="31" borderId="0" xfId="144" applyFont="1" applyFill="1"/>
    <xf numFmtId="3" fontId="36" fillId="0" borderId="0" xfId="143" applyNumberFormat="1" applyFont="1" applyFill="1" applyAlignment="1">
      <alignment wrapText="1"/>
    </xf>
    <xf numFmtId="3" fontId="21" fillId="29" borderId="50" xfId="107" applyNumberFormat="1" applyFont="1" applyFill="1" applyBorder="1"/>
    <xf numFmtId="3" fontId="21" fillId="0" borderId="51" xfId="107" applyNumberFormat="1" applyFont="1" applyBorder="1"/>
    <xf numFmtId="3" fontId="21" fillId="0" borderId="43" xfId="107" applyNumberFormat="1" applyFont="1" applyBorder="1"/>
    <xf numFmtId="4" fontId="20" fillId="29" borderId="43" xfId="113" applyNumberFormat="1" applyFont="1" applyFill="1" applyBorder="1" applyAlignment="1">
      <alignment horizontal="right" wrapText="1"/>
    </xf>
    <xf numFmtId="3" fontId="36" fillId="0" borderId="0" xfId="0" applyNumberFormat="1" applyFont="1"/>
    <xf numFmtId="3" fontId="26" fillId="0" borderId="43" xfId="113" applyNumberFormat="1" applyFont="1" applyFill="1" applyBorder="1" applyAlignment="1">
      <alignment horizontal="right" wrapText="1"/>
    </xf>
    <xf numFmtId="0" fontId="28" fillId="0" borderId="16" xfId="144" applyFont="1" applyBorder="1"/>
    <xf numFmtId="0" fontId="28" fillId="0" borderId="23" xfId="144" applyFont="1" applyBorder="1"/>
    <xf numFmtId="3" fontId="28" fillId="0" borderId="16" xfId="144" applyNumberFormat="1" applyFont="1" applyBorder="1"/>
    <xf numFmtId="0" fontId="28" fillId="31" borderId="16" xfId="144" applyFont="1" applyFill="1" applyBorder="1"/>
    <xf numFmtId="0" fontId="28" fillId="0" borderId="26" xfId="144" applyFont="1" applyBorder="1"/>
    <xf numFmtId="0" fontId="36" fillId="0" borderId="18" xfId="144" applyFont="1" applyBorder="1" applyAlignment="1">
      <alignment horizontal="left" wrapText="1"/>
    </xf>
    <xf numFmtId="0" fontId="36" fillId="0" borderId="94" xfId="144" applyFont="1" applyBorder="1" applyAlignment="1">
      <alignment horizontal="left"/>
    </xf>
    <xf numFmtId="0" fontId="28" fillId="0" borderId="130" xfId="144" applyFont="1" applyBorder="1" applyAlignment="1">
      <alignment wrapText="1"/>
    </xf>
    <xf numFmtId="0" fontId="28" fillId="0" borderId="131" xfId="144" applyFont="1" applyBorder="1" applyAlignment="1"/>
    <xf numFmtId="3" fontId="28" fillId="0" borderId="26" xfId="144" applyNumberFormat="1" applyFont="1" applyBorder="1"/>
    <xf numFmtId="3" fontId="28" fillId="0" borderId="61" xfId="144" applyNumberFormat="1" applyFont="1" applyBorder="1"/>
    <xf numFmtId="0" fontId="28" fillId="0" borderId="100" xfId="144" applyFont="1" applyBorder="1" applyAlignment="1">
      <alignment wrapText="1"/>
    </xf>
    <xf numFmtId="0" fontId="28" fillId="0" borderId="102" xfId="144" applyFont="1" applyBorder="1" applyAlignment="1"/>
    <xf numFmtId="3" fontId="28" fillId="0" borderId="102" xfId="144" applyNumberFormat="1" applyFont="1" applyBorder="1"/>
    <xf numFmtId="3" fontId="28" fillId="0" borderId="103" xfId="144" applyNumberFormat="1" applyFont="1" applyBorder="1"/>
    <xf numFmtId="3" fontId="28" fillId="31" borderId="102" xfId="144" applyNumberFormat="1" applyFont="1" applyFill="1" applyBorder="1"/>
    <xf numFmtId="0" fontId="28" fillId="0" borderId="102" xfId="144" applyFont="1" applyBorder="1"/>
    <xf numFmtId="0" fontId="22" fillId="0" borderId="132" xfId="144" applyFont="1" applyBorder="1" applyAlignment="1">
      <alignment wrapText="1"/>
    </xf>
    <xf numFmtId="0" fontId="22" fillId="0" borderId="133" xfId="144" applyFont="1" applyBorder="1" applyAlignment="1"/>
    <xf numFmtId="3" fontId="22" fillId="0" borderId="133" xfId="144" applyNumberFormat="1" applyFont="1" applyBorder="1"/>
    <xf numFmtId="3" fontId="22" fillId="0" borderId="134" xfId="144" applyNumberFormat="1" applyFont="1" applyBorder="1"/>
    <xf numFmtId="0" fontId="22" fillId="0" borderId="33" xfId="144" applyFont="1" applyBorder="1" applyAlignment="1">
      <alignment wrapText="1"/>
    </xf>
    <xf numFmtId="0" fontId="22" fillId="0" borderId="68" xfId="144" applyFont="1" applyBorder="1" applyAlignment="1">
      <alignment horizontal="center" wrapText="1"/>
    </xf>
    <xf numFmtId="0" fontId="28" fillId="0" borderId="25" xfId="144" applyFont="1" applyBorder="1" applyAlignment="1">
      <alignment wrapText="1"/>
    </xf>
    <xf numFmtId="0" fontId="28" fillId="0" borderId="17" xfId="144" applyFont="1" applyBorder="1" applyAlignment="1">
      <alignment wrapText="1"/>
    </xf>
    <xf numFmtId="3" fontId="28" fillId="0" borderId="16" xfId="144" applyNumberFormat="1" applyFont="1" applyFill="1" applyBorder="1"/>
    <xf numFmtId="3" fontId="28" fillId="0" borderId="30" xfId="144" applyNumberFormat="1" applyFont="1" applyFill="1" applyBorder="1"/>
    <xf numFmtId="3" fontId="28" fillId="0" borderId="66" xfId="144" applyNumberFormat="1" applyFont="1" applyFill="1" applyBorder="1"/>
    <xf numFmtId="3" fontId="28" fillId="0" borderId="23" xfId="144" applyNumberFormat="1" applyFont="1" applyBorder="1"/>
    <xf numFmtId="0" fontId="28" fillId="31" borderId="17" xfId="144" applyFont="1" applyFill="1" applyBorder="1" applyAlignment="1">
      <alignment wrapText="1"/>
    </xf>
    <xf numFmtId="3" fontId="28" fillId="31" borderId="16" xfId="144" applyNumberFormat="1" applyFont="1" applyFill="1" applyBorder="1"/>
    <xf numFmtId="3" fontId="28" fillId="31" borderId="30" xfId="144" applyNumberFormat="1" applyFont="1" applyFill="1" applyBorder="1"/>
    <xf numFmtId="3" fontId="28" fillId="31" borderId="23" xfId="144" applyNumberFormat="1" applyFont="1" applyFill="1" applyBorder="1"/>
    <xf numFmtId="0" fontId="51" fillId="0" borderId="28" xfId="0" applyFont="1" applyBorder="1" applyAlignment="1">
      <alignment wrapText="1"/>
    </xf>
    <xf numFmtId="0" fontId="33" fillId="0" borderId="62" xfId="144" applyFont="1" applyBorder="1" applyAlignment="1">
      <alignment horizontal="center"/>
    </xf>
    <xf numFmtId="3" fontId="33" fillId="0" borderId="62" xfId="144" applyNumberFormat="1" applyFont="1" applyBorder="1"/>
    <xf numFmtId="0" fontId="33" fillId="0" borderId="0" xfId="144" applyFont="1"/>
    <xf numFmtId="3" fontId="28" fillId="31" borderId="32" xfId="144" applyNumberFormat="1" applyFont="1" applyFill="1" applyBorder="1"/>
    <xf numFmtId="3" fontId="22" fillId="31" borderId="53" xfId="144" applyNumberFormat="1" applyFont="1" applyFill="1" applyBorder="1"/>
    <xf numFmtId="0" fontId="22" fillId="0" borderId="34" xfId="144" applyFont="1" applyBorder="1" applyAlignment="1">
      <alignment horizontal="center"/>
    </xf>
    <xf numFmtId="0" fontId="22" fillId="0" borderId="68" xfId="144" applyFont="1" applyBorder="1" applyAlignment="1">
      <alignment horizontal="center"/>
    </xf>
    <xf numFmtId="0" fontId="22" fillId="0" borderId="86" xfId="144" applyFont="1" applyBorder="1" applyAlignment="1">
      <alignment horizontal="center"/>
    </xf>
    <xf numFmtId="3" fontId="28" fillId="31" borderId="70" xfId="144" applyNumberFormat="1" applyFont="1" applyFill="1" applyBorder="1"/>
    <xf numFmtId="0" fontId="22" fillId="0" borderId="46" xfId="144" applyFont="1" applyBorder="1" applyAlignment="1">
      <alignment horizontal="center"/>
    </xf>
    <xf numFmtId="0" fontId="28" fillId="0" borderId="61" xfId="144" applyFont="1" applyBorder="1"/>
    <xf numFmtId="0" fontId="28" fillId="31" borderId="23" xfId="144" applyFont="1" applyFill="1" applyBorder="1"/>
    <xf numFmtId="3" fontId="33" fillId="0" borderId="66" xfId="144" applyNumberFormat="1" applyFont="1" applyBorder="1"/>
    <xf numFmtId="3" fontId="28" fillId="0" borderId="32" xfId="144" applyNumberFormat="1" applyFont="1" applyBorder="1"/>
    <xf numFmtId="3" fontId="33" fillId="0" borderId="32" xfId="144" applyNumberFormat="1" applyFont="1" applyBorder="1"/>
    <xf numFmtId="0" fontId="28" fillId="0" borderId="16" xfId="144" applyFont="1" applyFill="1" applyBorder="1"/>
    <xf numFmtId="3" fontId="28" fillId="0" borderId="23" xfId="144" applyNumberFormat="1" applyFont="1" applyFill="1" applyBorder="1"/>
    <xf numFmtId="0" fontId="0" fillId="0" borderId="16" xfId="144" applyFont="1" applyBorder="1" applyAlignment="1">
      <alignment horizontal="center"/>
    </xf>
    <xf numFmtId="0" fontId="0" fillId="0" borderId="26" xfId="144" applyFont="1" applyBorder="1" applyAlignment="1">
      <alignment horizontal="center"/>
    </xf>
    <xf numFmtId="0" fontId="0" fillId="31" borderId="16" xfId="144" applyFont="1" applyFill="1" applyBorder="1" applyAlignment="1">
      <alignment horizontal="center"/>
    </xf>
    <xf numFmtId="0" fontId="36" fillId="0" borderId="54" xfId="144" applyFont="1" applyBorder="1" applyAlignment="1">
      <alignment wrapText="1"/>
    </xf>
    <xf numFmtId="0" fontId="36" fillId="0" borderId="62" xfId="144" applyFont="1" applyBorder="1" applyAlignment="1">
      <alignment horizontal="center"/>
    </xf>
    <xf numFmtId="3" fontId="36" fillId="0" borderId="62" xfId="144" applyNumberFormat="1" applyFont="1" applyBorder="1"/>
    <xf numFmtId="3" fontId="36" fillId="0" borderId="66" xfId="144" applyNumberFormat="1" applyFont="1" applyBorder="1"/>
    <xf numFmtId="3" fontId="22" fillId="0" borderId="84" xfId="144" applyNumberFormat="1" applyFont="1" applyBorder="1"/>
    <xf numFmtId="0" fontId="0" fillId="0" borderId="33" xfId="144" applyFont="1" applyBorder="1" applyAlignment="1">
      <alignment wrapText="1"/>
    </xf>
    <xf numFmtId="0" fontId="28" fillId="0" borderId="34" xfId="144" applyFont="1" applyBorder="1"/>
    <xf numFmtId="2" fontId="28" fillId="0" borderId="34" xfId="144" applyNumberFormat="1" applyFont="1" applyBorder="1"/>
    <xf numFmtId="2" fontId="28" fillId="0" borderId="68" xfId="144" applyNumberFormat="1" applyFont="1" applyBorder="1"/>
    <xf numFmtId="2" fontId="28" fillId="0" borderId="46" xfId="144" applyNumberFormat="1" applyFont="1" applyBorder="1"/>
    <xf numFmtId="0" fontId="22" fillId="0" borderId="89" xfId="144" applyFont="1" applyBorder="1" applyAlignment="1">
      <alignment horizontal="center"/>
    </xf>
    <xf numFmtId="0" fontId="22" fillId="0" borderId="87" xfId="144" applyFont="1" applyBorder="1" applyAlignment="1">
      <alignment horizontal="center"/>
    </xf>
    <xf numFmtId="0" fontId="22" fillId="0" borderId="111" xfId="144" applyFont="1" applyBorder="1" applyAlignment="1">
      <alignment horizontal="center" wrapText="1"/>
    </xf>
    <xf numFmtId="0" fontId="22" fillId="0" borderId="135" xfId="144" applyFont="1" applyBorder="1" applyAlignment="1">
      <alignment horizontal="center"/>
    </xf>
    <xf numFmtId="0" fontId="22" fillId="0" borderId="136" xfId="144" applyFont="1" applyBorder="1" applyAlignment="1">
      <alignment horizontal="center" wrapText="1"/>
    </xf>
    <xf numFmtId="0" fontId="22" fillId="0" borderId="91" xfId="144" applyFont="1" applyBorder="1" applyAlignment="1">
      <alignment horizontal="left" wrapText="1"/>
    </xf>
    <xf numFmtId="0" fontId="0" fillId="0" borderId="137" xfId="144" applyFont="1" applyBorder="1" applyAlignment="1">
      <alignment horizontal="center" wrapText="1"/>
    </xf>
    <xf numFmtId="0" fontId="22" fillId="0" borderId="138" xfId="144" applyFont="1" applyBorder="1" applyAlignment="1">
      <alignment horizontal="center" wrapText="1"/>
    </xf>
    <xf numFmtId="0" fontId="0" fillId="0" borderId="101" xfId="144" applyFont="1" applyBorder="1" applyAlignment="1">
      <alignment horizontal="center" wrapText="1"/>
    </xf>
    <xf numFmtId="0" fontId="22" fillId="0" borderId="67" xfId="144" applyFont="1" applyBorder="1" applyAlignment="1">
      <alignment horizontal="center" wrapText="1"/>
    </xf>
    <xf numFmtId="0" fontId="0" fillId="0" borderId="139" xfId="144" applyFont="1" applyBorder="1" applyAlignment="1">
      <alignment horizontal="center" wrapText="1"/>
    </xf>
    <xf numFmtId="0" fontId="0" fillId="0" borderId="21" xfId="144" applyFont="1" applyBorder="1" applyAlignment="1">
      <alignment horizontal="center" wrapText="1"/>
    </xf>
    <xf numFmtId="0" fontId="0" fillId="31" borderId="21" xfId="144" applyFont="1" applyFill="1" applyBorder="1" applyAlignment="1">
      <alignment horizontal="center" wrapText="1"/>
    </xf>
    <xf numFmtId="0" fontId="51" fillId="0" borderId="16" xfId="0" applyFont="1" applyBorder="1" applyAlignment="1">
      <alignment horizontal="center" wrapText="1"/>
    </xf>
    <xf numFmtId="0" fontId="36" fillId="0" borderId="140" xfId="144" applyFont="1" applyBorder="1" applyAlignment="1">
      <alignment horizontal="center" wrapText="1"/>
    </xf>
    <xf numFmtId="0" fontId="0" fillId="0" borderId="36" xfId="144" applyFont="1" applyBorder="1" applyAlignment="1">
      <alignment horizontal="center" wrapText="1"/>
    </xf>
    <xf numFmtId="0" fontId="20" fillId="0" borderId="0" xfId="113" applyFont="1" applyAlignment="1">
      <alignment horizontal="center"/>
    </xf>
    <xf numFmtId="3" fontId="25" fillId="0" borderId="43" xfId="104" applyNumberFormat="1" applyFont="1" applyFill="1" applyBorder="1"/>
    <xf numFmtId="3" fontId="36" fillId="0" borderId="141" xfId="143" applyNumberFormat="1" applyFont="1" applyFill="1" applyBorder="1"/>
    <xf numFmtId="0" fontId="20" fillId="0" borderId="22" xfId="0" applyFont="1" applyBorder="1"/>
    <xf numFmtId="0" fontId="21" fillId="0" borderId="22" xfId="0" applyFont="1" applyBorder="1"/>
    <xf numFmtId="0" fontId="20" fillId="0" borderId="21" xfId="0" applyFont="1" applyBorder="1"/>
    <xf numFmtId="3" fontId="0" fillId="0" borderId="50" xfId="0" applyNumberFormat="1" applyFill="1" applyBorder="1"/>
    <xf numFmtId="3" fontId="0" fillId="0" borderId="50" xfId="0" applyNumberFormat="1" applyFont="1" applyBorder="1"/>
    <xf numFmtId="3" fontId="21" fillId="0" borderId="50" xfId="107" applyNumberFormat="1" applyFont="1" applyFill="1" applyBorder="1"/>
    <xf numFmtId="3" fontId="21" fillId="29" borderId="40" xfId="107" applyNumberFormat="1" applyFont="1" applyFill="1" applyBorder="1"/>
    <xf numFmtId="3" fontId="21" fillId="29" borderId="27" xfId="107" applyNumberFormat="1" applyFont="1" applyFill="1" applyBorder="1" applyAlignment="1">
      <alignment horizontal="right"/>
    </xf>
    <xf numFmtId="3" fontId="21" fillId="29" borderId="40" xfId="107" applyNumberFormat="1" applyFont="1" applyFill="1" applyBorder="1" applyAlignment="1">
      <alignment horizontal="right"/>
    </xf>
    <xf numFmtId="3" fontId="0" fillId="0" borderId="27" xfId="0" applyNumberFormat="1" applyBorder="1"/>
    <xf numFmtId="3" fontId="21" fillId="0" borderId="52" xfId="0" applyNumberFormat="1" applyFont="1" applyBorder="1"/>
    <xf numFmtId="3" fontId="20" fillId="0" borderId="60" xfId="0" applyNumberFormat="1" applyFont="1" applyBorder="1"/>
    <xf numFmtId="0" fontId="20" fillId="0" borderId="52" xfId="107" applyFont="1" applyFill="1" applyBorder="1" applyAlignment="1">
      <alignment horizontal="center"/>
    </xf>
    <xf numFmtId="0" fontId="20" fillId="0" borderId="37" xfId="107" applyNumberFormat="1" applyFont="1" applyFill="1" applyBorder="1" applyAlignment="1">
      <alignment horizontal="center"/>
    </xf>
    <xf numFmtId="3" fontId="20" fillId="0" borderId="27" xfId="107" applyNumberFormat="1" applyFont="1" applyFill="1" applyBorder="1" applyAlignment="1">
      <alignment vertical="center"/>
    </xf>
    <xf numFmtId="2" fontId="20" fillId="0" borderId="40" xfId="107" applyNumberFormat="1" applyFont="1" applyFill="1" applyBorder="1" applyAlignment="1">
      <alignment vertical="center"/>
    </xf>
    <xf numFmtId="3" fontId="0" fillId="0" borderId="40" xfId="0" applyNumberFormat="1" applyFont="1" applyBorder="1" applyAlignment="1">
      <alignment wrapText="1"/>
    </xf>
    <xf numFmtId="3" fontId="0" fillId="0" borderId="27" xfId="0" applyNumberFormat="1" applyFont="1" applyBorder="1" applyAlignment="1">
      <alignment wrapText="1"/>
    </xf>
    <xf numFmtId="3" fontId="0" fillId="0" borderId="37" xfId="0" applyNumberFormat="1" applyFill="1" applyBorder="1"/>
    <xf numFmtId="3" fontId="0" fillId="0" borderId="60" xfId="0" applyNumberFormat="1" applyFont="1" applyBorder="1" applyAlignment="1">
      <alignment wrapText="1"/>
    </xf>
    <xf numFmtId="0" fontId="21" fillId="0" borderId="41" xfId="107" applyFont="1" applyFill="1" applyBorder="1" applyAlignment="1">
      <alignment horizontal="center" wrapText="1"/>
    </xf>
    <xf numFmtId="0" fontId="21" fillId="0" borderId="33" xfId="107" applyNumberFormat="1" applyFont="1" applyFill="1" applyBorder="1" applyAlignment="1">
      <alignment horizontal="center" wrapText="1"/>
    </xf>
    <xf numFmtId="0" fontId="21" fillId="0" borderId="34" xfId="107" applyFont="1" applyFill="1" applyBorder="1" applyAlignment="1">
      <alignment horizontal="center" wrapText="1"/>
    </xf>
    <xf numFmtId="2" fontId="21" fillId="0" borderId="34" xfId="107" applyNumberFormat="1" applyFont="1" applyFill="1" applyBorder="1" applyAlignment="1">
      <alignment vertical="center" wrapText="1"/>
    </xf>
    <xf numFmtId="0" fontId="21" fillId="0" borderId="34" xfId="107" applyFont="1" applyFill="1" applyBorder="1" applyAlignment="1">
      <alignment vertical="center"/>
    </xf>
    <xf numFmtId="0" fontId="21" fillId="29" borderId="34" xfId="107" applyFont="1" applyFill="1" applyBorder="1" applyAlignment="1">
      <alignment vertical="center"/>
    </xf>
    <xf numFmtId="0" fontId="21" fillId="0" borderId="68" xfId="107" applyFont="1" applyFill="1" applyBorder="1" applyAlignment="1">
      <alignment horizontal="center" vertical="center"/>
    </xf>
    <xf numFmtId="2" fontId="21" fillId="0" borderId="34" xfId="107" applyNumberFormat="1" applyFont="1" applyFill="1" applyBorder="1" applyAlignment="1">
      <alignment horizontal="center" vertical="center"/>
    </xf>
    <xf numFmtId="3" fontId="22" fillId="0" borderId="34" xfId="0" applyNumberFormat="1" applyFont="1" applyBorder="1" applyAlignment="1">
      <alignment wrapText="1"/>
    </xf>
    <xf numFmtId="3" fontId="22" fillId="0" borderId="68" xfId="0" applyNumberFormat="1" applyFont="1" applyBorder="1" applyAlignment="1">
      <alignment wrapText="1"/>
    </xf>
    <xf numFmtId="3" fontId="22" fillId="0" borderId="33" xfId="0" applyNumberFormat="1" applyFont="1" applyBorder="1" applyAlignment="1">
      <alignment wrapText="1"/>
    </xf>
    <xf numFmtId="3" fontId="22" fillId="0" borderId="64" xfId="0" applyNumberFormat="1" applyFont="1" applyBorder="1" applyAlignment="1">
      <alignment wrapText="1"/>
    </xf>
    <xf numFmtId="3" fontId="22" fillId="0" borderId="37" xfId="0" applyNumberFormat="1" applyFont="1" applyBorder="1" applyAlignment="1">
      <alignment vertical="center" wrapText="1"/>
    </xf>
    <xf numFmtId="0" fontId="22" fillId="0" borderId="60" xfId="0" applyFont="1" applyBorder="1" applyAlignment="1">
      <alignment vertical="center" wrapText="1"/>
    </xf>
    <xf numFmtId="0" fontId="20" fillId="0" borderId="52" xfId="107" applyNumberFormat="1" applyFont="1" applyFill="1" applyBorder="1" applyAlignment="1">
      <alignment horizontal="center"/>
    </xf>
    <xf numFmtId="0" fontId="20" fillId="0" borderId="40" xfId="107" applyFont="1" applyFill="1" applyBorder="1" applyAlignment="1">
      <alignment wrapText="1"/>
    </xf>
    <xf numFmtId="3" fontId="20" fillId="0" borderId="40" xfId="107" applyNumberFormat="1" applyFont="1" applyFill="1" applyBorder="1"/>
    <xf numFmtId="3" fontId="20" fillId="0" borderId="27" xfId="107" applyNumberFormat="1" applyFont="1" applyFill="1" applyBorder="1"/>
    <xf numFmtId="2" fontId="21" fillId="0" borderId="34" xfId="107" applyNumberFormat="1" applyFont="1" applyFill="1" applyBorder="1" applyAlignment="1">
      <alignment horizontal="center" wrapText="1"/>
    </xf>
    <xf numFmtId="0" fontId="21" fillId="0" borderId="34" xfId="107" applyFont="1" applyFill="1" applyBorder="1" applyAlignment="1">
      <alignment horizontal="center" vertical="center"/>
    </xf>
    <xf numFmtId="0" fontId="21" fillId="29" borderId="34" xfId="107" applyFont="1" applyFill="1" applyBorder="1" applyAlignment="1">
      <alignment horizontal="center" vertical="center"/>
    </xf>
    <xf numFmtId="3" fontId="22" fillId="0" borderId="34" xfId="0" applyNumberFormat="1" applyFont="1" applyBorder="1" applyAlignment="1">
      <alignment vertical="center" wrapText="1"/>
    </xf>
    <xf numFmtId="3" fontId="22" fillId="0" borderId="68" xfId="0" applyNumberFormat="1" applyFont="1" applyBorder="1" applyAlignment="1">
      <alignment vertical="center" wrapText="1"/>
    </xf>
    <xf numFmtId="3" fontId="22" fillId="0" borderId="33" xfId="0" applyNumberFormat="1" applyFont="1" applyBorder="1" applyAlignment="1">
      <alignment vertical="center" wrapText="1"/>
    </xf>
    <xf numFmtId="3" fontId="22" fillId="0" borderId="64" xfId="0" applyNumberFormat="1" applyFont="1" applyBorder="1" applyAlignment="1">
      <alignment vertical="center" wrapText="1"/>
    </xf>
    <xf numFmtId="0" fontId="22" fillId="0" borderId="64" xfId="0" applyFont="1" applyBorder="1" applyAlignment="1">
      <alignment vertical="center" wrapText="1"/>
    </xf>
    <xf numFmtId="0" fontId="21" fillId="0" borderId="52" xfId="107" applyFont="1" applyFill="1" applyBorder="1" applyAlignment="1">
      <alignment horizontal="center"/>
    </xf>
    <xf numFmtId="0" fontId="21" fillId="0" borderId="40" xfId="107" applyFont="1" applyFill="1" applyBorder="1" applyAlignment="1">
      <alignment wrapText="1"/>
    </xf>
    <xf numFmtId="3" fontId="21" fillId="0" borderId="60" xfId="107" applyNumberFormat="1" applyFont="1" applyFill="1" applyBorder="1"/>
    <xf numFmtId="3" fontId="21" fillId="29" borderId="61" xfId="113" applyNumberFormat="1" applyFont="1" applyFill="1" applyBorder="1" applyAlignment="1">
      <alignment horizontal="right" wrapText="1"/>
    </xf>
    <xf numFmtId="3" fontId="21" fillId="29" borderId="57" xfId="113" applyNumberFormat="1" applyFont="1" applyFill="1" applyBorder="1" applyAlignment="1">
      <alignment horizontal="right" wrapText="1"/>
    </xf>
    <xf numFmtId="3" fontId="25" fillId="0" borderId="26" xfId="106" applyNumberFormat="1" applyFont="1" applyBorder="1"/>
    <xf numFmtId="3" fontId="20" fillId="0" borderId="30" xfId="113" applyNumberFormat="1" applyFont="1" applyBorder="1" applyAlignment="1">
      <alignment horizontal="right" vertical="center"/>
    </xf>
    <xf numFmtId="0" fontId="21" fillId="0" borderId="38" xfId="113" applyFont="1" applyBorder="1" applyAlignment="1">
      <alignment horizontal="center" vertical="center" wrapText="1"/>
    </xf>
    <xf numFmtId="0" fontId="25" fillId="0" borderId="0" xfId="113" applyFont="1" applyBorder="1" applyAlignment="1">
      <alignment wrapText="1"/>
    </xf>
    <xf numFmtId="3" fontId="28" fillId="0" borderId="62" xfId="0" applyNumberFormat="1" applyFont="1" applyBorder="1"/>
    <xf numFmtId="0" fontId="21" fillId="0" borderId="65" xfId="113" applyFont="1" applyBorder="1" applyAlignment="1">
      <alignment horizontal="center" vertical="center" wrapText="1"/>
    </xf>
    <xf numFmtId="0" fontId="26" fillId="0" borderId="28" xfId="106" applyFont="1" applyFill="1" applyBorder="1" applyAlignment="1">
      <alignment horizontal="left" vertical="center" wrapText="1"/>
    </xf>
    <xf numFmtId="0" fontId="26" fillId="0" borderId="55" xfId="106" applyFont="1" applyFill="1" applyBorder="1" applyAlignment="1">
      <alignment horizontal="left" vertical="center" wrapText="1"/>
    </xf>
    <xf numFmtId="0" fontId="21" fillId="0" borderId="61" xfId="113" applyFont="1" applyBorder="1" applyAlignment="1">
      <alignment horizontal="center" vertical="center" wrapText="1"/>
    </xf>
    <xf numFmtId="3" fontId="26" fillId="0" borderId="26" xfId="104" applyNumberFormat="1" applyFont="1" applyFill="1" applyBorder="1" applyAlignment="1">
      <alignment horizontal="right"/>
    </xf>
    <xf numFmtId="0" fontId="26" fillId="0" borderId="50" xfId="106" applyFont="1" applyFill="1" applyBorder="1" applyAlignment="1">
      <alignment horizontal="left" vertical="center" wrapText="1"/>
    </xf>
    <xf numFmtId="0" fontId="21" fillId="0" borderId="23" xfId="113" applyFont="1" applyBorder="1" applyAlignment="1">
      <alignment horizontal="center" vertical="center" wrapText="1"/>
    </xf>
    <xf numFmtId="0" fontId="21" fillId="0" borderId="16" xfId="113" applyFont="1" applyBorder="1" applyAlignment="1">
      <alignment horizontal="center" vertical="center" wrapText="1"/>
    </xf>
    <xf numFmtId="3" fontId="26" fillId="31" borderId="50" xfId="106" applyNumberFormat="1" applyFont="1" applyFill="1" applyBorder="1" applyAlignment="1">
      <alignment horizontal="left" wrapText="1"/>
    </xf>
    <xf numFmtId="0" fontId="52" fillId="31" borderId="17" xfId="0" applyFont="1" applyFill="1" applyBorder="1" applyAlignment="1">
      <alignment wrapText="1"/>
    </xf>
    <xf numFmtId="0" fontId="0" fillId="29" borderId="50" xfId="112" applyFont="1" applyFill="1" applyBorder="1" applyAlignment="1">
      <alignment wrapText="1"/>
    </xf>
    <xf numFmtId="3" fontId="26" fillId="31" borderId="51" xfId="106" applyNumberFormat="1" applyFont="1" applyFill="1" applyBorder="1" applyAlignment="1">
      <alignment horizontal="left" wrapText="1"/>
    </xf>
    <xf numFmtId="3" fontId="26" fillId="0" borderId="57" xfId="113" applyNumberFormat="1" applyFont="1" applyFill="1" applyBorder="1" applyAlignment="1">
      <alignment horizontal="right" wrapText="1"/>
    </xf>
    <xf numFmtId="3" fontId="26" fillId="0" borderId="43" xfId="106" applyNumberFormat="1" applyFont="1" applyBorder="1"/>
    <xf numFmtId="0" fontId="21" fillId="0" borderId="0" xfId="113" applyFont="1" applyAlignment="1">
      <alignment horizontal="center" wrapText="1"/>
    </xf>
    <xf numFmtId="0" fontId="15" fillId="0" borderId="0" xfId="113"/>
    <xf numFmtId="3" fontId="21" fillId="0" borderId="34" xfId="113" applyNumberFormat="1" applyFont="1" applyBorder="1" applyAlignment="1">
      <alignment horizontal="center" vertical="center" wrapText="1"/>
    </xf>
    <xf numFmtId="3" fontId="21" fillId="0" borderId="64" xfId="113" applyNumberFormat="1" applyFont="1" applyBorder="1" applyAlignment="1">
      <alignment horizontal="center" vertical="center" wrapText="1"/>
    </xf>
    <xf numFmtId="0" fontId="15" fillId="0" borderId="0" xfId="113" applyAlignment="1">
      <alignment horizontal="center" vertical="center"/>
    </xf>
    <xf numFmtId="0" fontId="20" fillId="0" borderId="25" xfId="113" applyFont="1" applyBorder="1" applyAlignment="1">
      <alignment horizontal="left" wrapText="1"/>
    </xf>
    <xf numFmtId="3" fontId="20" fillId="0" borderId="26" xfId="113" applyNumberFormat="1" applyFont="1" applyBorder="1"/>
    <xf numFmtId="3" fontId="20" fillId="0" borderId="44" xfId="113" applyNumberFormat="1" applyFont="1" applyBorder="1"/>
    <xf numFmtId="0" fontId="15" fillId="0" borderId="0" xfId="113" applyFont="1"/>
    <xf numFmtId="0" fontId="20" fillId="0" borderId="17" xfId="113" applyFont="1" applyBorder="1" applyAlignment="1">
      <alignment horizontal="left" wrapText="1"/>
    </xf>
    <xf numFmtId="0" fontId="20" fillId="29" borderId="17" xfId="112" applyFont="1" applyFill="1" applyBorder="1" applyAlignment="1">
      <alignment wrapText="1"/>
    </xf>
    <xf numFmtId="3" fontId="20" fillId="0" borderId="22" xfId="113" applyNumberFormat="1" applyFont="1" applyFill="1" applyBorder="1" applyAlignment="1">
      <alignment horizontal="right" wrapText="1"/>
    </xf>
    <xf numFmtId="0" fontId="21" fillId="0" borderId="17" xfId="113" applyFont="1" applyBorder="1" applyAlignment="1">
      <alignment horizontal="left" wrapText="1"/>
    </xf>
    <xf numFmtId="3" fontId="21" fillId="0" borderId="16" xfId="113" applyNumberFormat="1" applyFont="1" applyBorder="1" applyAlignment="1">
      <alignment horizontal="right" wrapText="1"/>
    </xf>
    <xf numFmtId="3" fontId="21" fillId="0" borderId="22" xfId="113" applyNumberFormat="1" applyFont="1" applyBorder="1" applyAlignment="1">
      <alignment horizontal="right" wrapText="1"/>
    </xf>
    <xf numFmtId="0" fontId="20" fillId="30" borderId="17" xfId="145" applyFont="1" applyFill="1" applyBorder="1" applyAlignment="1">
      <alignment wrapText="1"/>
    </xf>
    <xf numFmtId="0" fontId="21" fillId="29" borderId="17" xfId="113" applyFont="1" applyFill="1" applyBorder="1" applyAlignment="1">
      <alignment horizontal="left" wrapText="1"/>
    </xf>
    <xf numFmtId="0" fontId="53" fillId="0" borderId="0" xfId="113" applyFont="1" applyBorder="1"/>
    <xf numFmtId="0" fontId="53" fillId="0" borderId="0" xfId="113" applyFont="1"/>
    <xf numFmtId="0" fontId="53" fillId="29" borderId="0" xfId="113" applyFont="1" applyFill="1" applyBorder="1"/>
    <xf numFmtId="0" fontId="53" fillId="29" borderId="0" xfId="113" applyFont="1" applyFill="1"/>
    <xf numFmtId="3" fontId="20" fillId="29" borderId="16" xfId="113" applyNumberFormat="1" applyFont="1" applyFill="1" applyBorder="1"/>
    <xf numFmtId="3" fontId="20" fillId="29" borderId="22" xfId="113" applyNumberFormat="1" applyFont="1" applyFill="1" applyBorder="1"/>
    <xf numFmtId="0" fontId="15" fillId="0" borderId="0" xfId="113" applyFont="1" applyBorder="1"/>
    <xf numFmtId="0" fontId="20" fillId="0" borderId="24" xfId="113" applyFont="1" applyBorder="1" applyAlignment="1">
      <alignment wrapText="1"/>
    </xf>
    <xf numFmtId="3" fontId="20" fillId="0" borderId="19" xfId="113" applyNumberFormat="1" applyFont="1" applyBorder="1"/>
    <xf numFmtId="3" fontId="20" fillId="0" borderId="43" xfId="113" applyNumberFormat="1" applyFont="1" applyBorder="1"/>
    <xf numFmtId="0" fontId="20" fillId="0" borderId="40" xfId="113" applyFont="1" applyBorder="1" applyAlignment="1">
      <alignment wrapText="1"/>
    </xf>
    <xf numFmtId="3" fontId="20" fillId="0" borderId="142" xfId="113" applyNumberFormat="1" applyFont="1" applyBorder="1"/>
    <xf numFmtId="0" fontId="20" fillId="0" borderId="0" xfId="113" applyFont="1" applyAlignment="1">
      <alignment wrapText="1"/>
    </xf>
    <xf numFmtId="0" fontId="28" fillId="0" borderId="0" xfId="98"/>
    <xf numFmtId="0" fontId="26" fillId="0" borderId="0" xfId="98" applyFont="1"/>
    <xf numFmtId="3" fontId="26" fillId="0" borderId="0" xfId="98" applyNumberFormat="1" applyFont="1"/>
    <xf numFmtId="3" fontId="26" fillId="0" borderId="0" xfId="98" applyNumberFormat="1" applyFont="1" applyAlignment="1">
      <alignment horizontal="right"/>
    </xf>
    <xf numFmtId="0" fontId="25" fillId="0" borderId="102" xfId="98" applyFont="1" applyBorder="1" applyAlignment="1">
      <alignment horizontal="center"/>
    </xf>
    <xf numFmtId="3" fontId="25" fillId="0" borderId="102" xfId="98" applyNumberFormat="1" applyFont="1" applyBorder="1" applyAlignment="1">
      <alignment horizontal="center"/>
    </xf>
    <xf numFmtId="0" fontId="25" fillId="0" borderId="99" xfId="98" applyFont="1" applyBorder="1" applyAlignment="1">
      <alignment horizontal="left"/>
    </xf>
    <xf numFmtId="3" fontId="26" fillId="0" borderId="99" xfId="98" applyNumberFormat="1" applyFont="1" applyBorder="1" applyAlignment="1">
      <alignment horizontal="right"/>
    </xf>
    <xf numFmtId="0" fontId="25" fillId="0" borderId="102" xfId="98" applyFont="1" applyBorder="1"/>
    <xf numFmtId="3" fontId="26" fillId="0" borderId="102" xfId="98" applyNumberFormat="1" applyFont="1" applyBorder="1" applyAlignment="1">
      <alignment horizontal="right"/>
    </xf>
    <xf numFmtId="0" fontId="26" fillId="0" borderId="102" xfId="98" applyFont="1" applyBorder="1"/>
    <xf numFmtId="3" fontId="26" fillId="0" borderId="113" xfId="98" applyNumberFormat="1" applyFont="1" applyBorder="1" applyAlignment="1">
      <alignment horizontal="right"/>
    </xf>
    <xf numFmtId="0" fontId="28" fillId="0" borderId="12" xfId="98" applyBorder="1" applyAlignment="1"/>
    <xf numFmtId="0" fontId="28" fillId="0" borderId="0" xfId="98" applyAlignment="1"/>
    <xf numFmtId="0" fontId="25" fillId="0" borderId="113" xfId="98" applyFont="1" applyBorder="1"/>
    <xf numFmtId="0" fontId="26" fillId="0" borderId="102" xfId="98" applyFont="1" applyFill="1" applyBorder="1"/>
    <xf numFmtId="0" fontId="26" fillId="35" borderId="102" xfId="98" applyFont="1" applyFill="1" applyBorder="1"/>
    <xf numFmtId="3" fontId="25" fillId="0" borderId="113" xfId="98" applyNumberFormat="1" applyFont="1" applyBorder="1"/>
    <xf numFmtId="3" fontId="25" fillId="0" borderId="16" xfId="98" applyNumberFormat="1" applyFont="1" applyBorder="1"/>
    <xf numFmtId="0" fontId="26" fillId="0" borderId="113" xfId="98" applyFont="1" applyFill="1" applyBorder="1"/>
    <xf numFmtId="3" fontId="26" fillId="0" borderId="16" xfId="98" applyNumberFormat="1" applyFont="1" applyBorder="1"/>
    <xf numFmtId="0" fontId="25" fillId="0" borderId="16" xfId="98" applyFont="1" applyBorder="1"/>
    <xf numFmtId="0" fontId="26" fillId="0" borderId="102" xfId="98" applyFont="1" applyFill="1" applyBorder="1" applyAlignment="1">
      <alignment wrapText="1"/>
    </xf>
    <xf numFmtId="3" fontId="26" fillId="0" borderId="16" xfId="98" applyNumberFormat="1" applyFont="1" applyFill="1" applyBorder="1"/>
    <xf numFmtId="3" fontId="25" fillId="0" borderId="16" xfId="98" applyNumberFormat="1" applyFont="1" applyFill="1" applyBorder="1"/>
    <xf numFmtId="3" fontId="26" fillId="0" borderId="102" xfId="98" applyNumberFormat="1" applyFont="1" applyBorder="1"/>
    <xf numFmtId="3" fontId="26" fillId="0" borderId="102" xfId="98" applyNumberFormat="1" applyFont="1" applyFill="1" applyBorder="1"/>
    <xf numFmtId="3" fontId="26" fillId="31" borderId="102" xfId="98" applyNumberFormat="1" applyFont="1" applyFill="1" applyBorder="1"/>
    <xf numFmtId="3" fontId="25" fillId="31" borderId="102" xfId="98" applyNumberFormat="1" applyFont="1" applyFill="1" applyBorder="1"/>
    <xf numFmtId="0" fontId="26" fillId="0" borderId="113" xfId="98" applyFont="1" applyBorder="1"/>
    <xf numFmtId="3" fontId="26" fillId="0" borderId="113" xfId="98" applyNumberFormat="1" applyFont="1" applyBorder="1"/>
    <xf numFmtId="3" fontId="25" fillId="0" borderId="102" xfId="98" applyNumberFormat="1" applyFont="1" applyBorder="1"/>
    <xf numFmtId="0" fontId="28" fillId="0" borderId="0" xfId="148"/>
    <xf numFmtId="0" fontId="56" fillId="0" borderId="81" xfId="149" applyFont="1" applyBorder="1" applyAlignment="1">
      <alignment horizontal="center"/>
    </xf>
    <xf numFmtId="0" fontId="56" fillId="0" borderId="123" xfId="149" applyFont="1" applyBorder="1" applyAlignment="1">
      <alignment horizontal="center"/>
    </xf>
    <xf numFmtId="0" fontId="56" fillId="0" borderId="82" xfId="149" applyFont="1" applyBorder="1" applyAlignment="1">
      <alignment horizontal="center"/>
    </xf>
    <xf numFmtId="0" fontId="57" fillId="0" borderId="143" xfId="149" applyFont="1" applyBorder="1"/>
    <xf numFmtId="0" fontId="57" fillId="0" borderId="144" xfId="149" applyFont="1" applyBorder="1"/>
    <xf numFmtId="0" fontId="58" fillId="0" borderId="144" xfId="149" applyFont="1" applyBorder="1" applyAlignment="1">
      <alignment horizontal="center"/>
    </xf>
    <xf numFmtId="0" fontId="56" fillId="0" borderId="144" xfId="149" applyFont="1" applyBorder="1" applyAlignment="1">
      <alignment horizontal="center"/>
    </xf>
    <xf numFmtId="0" fontId="56" fillId="0" borderId="79" xfId="149" applyFont="1" applyBorder="1" applyAlignment="1">
      <alignment horizontal="center"/>
    </xf>
    <xf numFmtId="0" fontId="56" fillId="0" borderId="75" xfId="149" applyFont="1" applyBorder="1" applyAlignment="1">
      <alignment horizontal="center"/>
    </xf>
    <xf numFmtId="0" fontId="56" fillId="0" borderId="77" xfId="149" applyFont="1" applyBorder="1" applyAlignment="1">
      <alignment horizontal="center"/>
    </xf>
    <xf numFmtId="0" fontId="56" fillId="0" borderId="80" xfId="149" applyFont="1" applyBorder="1" applyAlignment="1">
      <alignment horizontal="center"/>
    </xf>
    <xf numFmtId="0" fontId="53" fillId="0" borderId="17" xfId="149" applyFont="1" applyBorder="1" applyAlignment="1">
      <alignment horizontal="center"/>
    </xf>
    <xf numFmtId="0" fontId="53" fillId="0" borderId="16" xfId="149" applyFont="1" applyBorder="1" applyAlignment="1">
      <alignment wrapText="1"/>
    </xf>
    <xf numFmtId="0" fontId="53" fillId="0" borderId="16" xfId="149" applyFont="1" applyBorder="1"/>
    <xf numFmtId="3" fontId="59" fillId="0" borderId="16" xfId="149" applyNumberFormat="1" applyFont="1" applyBorder="1" applyAlignment="1">
      <alignment horizontal="right"/>
    </xf>
    <xf numFmtId="168" fontId="59" fillId="0" borderId="22" xfId="149" applyNumberFormat="1" applyFont="1" applyBorder="1" applyAlignment="1">
      <alignment horizontal="right"/>
    </xf>
    <xf numFmtId="0" fontId="15" fillId="0" borderId="17" xfId="149" applyFont="1" applyBorder="1" applyAlignment="1">
      <alignment horizontal="center"/>
    </xf>
    <xf numFmtId="0" fontId="15" fillId="0" borderId="16" xfId="149" applyFont="1" applyBorder="1"/>
    <xf numFmtId="3" fontId="38" fillId="0" borderId="16" xfId="149" applyNumberFormat="1" applyFont="1" applyBorder="1" applyAlignment="1">
      <alignment horizontal="right"/>
    </xf>
    <xf numFmtId="168" fontId="38" fillId="0" borderId="22" xfId="149" applyNumberFormat="1" applyFont="1" applyBorder="1" applyAlignment="1">
      <alignment horizontal="right"/>
    </xf>
    <xf numFmtId="0" fontId="59" fillId="0" borderId="17" xfId="149" applyFont="1" applyBorder="1" applyAlignment="1">
      <alignment horizontal="center" wrapText="1"/>
    </xf>
    <xf numFmtId="0" fontId="59" fillId="0" borderId="16" xfId="149" applyFont="1" applyBorder="1" applyAlignment="1">
      <alignment wrapText="1"/>
    </xf>
    <xf numFmtId="168" fontId="38" fillId="0" borderId="16" xfId="149" applyNumberFormat="1" applyFont="1" applyBorder="1" applyAlignment="1">
      <alignment horizontal="right"/>
    </xf>
    <xf numFmtId="0" fontId="59" fillId="0" borderId="40" xfId="149" applyFont="1" applyBorder="1" applyAlignment="1">
      <alignment wrapText="1"/>
    </xf>
    <xf numFmtId="0" fontId="59" fillId="0" borderId="40" xfId="149" applyFont="1" applyBorder="1"/>
    <xf numFmtId="3" fontId="59" fillId="0" borderId="40" xfId="149" applyNumberFormat="1" applyFont="1" applyBorder="1"/>
    <xf numFmtId="3" fontId="59" fillId="0" borderId="60" xfId="149" applyNumberFormat="1" applyFont="1" applyBorder="1"/>
    <xf numFmtId="0" fontId="28" fillId="0" borderId="16" xfId="148" applyBorder="1"/>
    <xf numFmtId="0" fontId="38" fillId="0" borderId="16" xfId="149" applyFont="1" applyBorder="1"/>
    <xf numFmtId="3" fontId="38" fillId="0" borderId="22" xfId="149" applyNumberFormat="1" applyFont="1" applyBorder="1" applyAlignment="1">
      <alignment horizontal="right"/>
    </xf>
    <xf numFmtId="3" fontId="28" fillId="0" borderId="0" xfId="148" applyNumberFormat="1"/>
    <xf numFmtId="0" fontId="38" fillId="0" borderId="16" xfId="149" applyFont="1" applyBorder="1" applyAlignment="1">
      <alignment wrapText="1"/>
    </xf>
    <xf numFmtId="0" fontId="59" fillId="0" borderId="54" xfId="149" applyFont="1" applyBorder="1" applyAlignment="1">
      <alignment horizontal="center" wrapText="1"/>
    </xf>
    <xf numFmtId="0" fontId="59" fillId="0" borderId="62" xfId="149" applyFont="1" applyBorder="1" applyAlignment="1">
      <alignment wrapText="1"/>
    </xf>
    <xf numFmtId="0" fontId="15" fillId="0" borderId="62" xfId="149" applyFont="1" applyBorder="1"/>
    <xf numFmtId="3" fontId="38" fillId="0" borderId="62" xfId="149" applyNumberFormat="1" applyFont="1" applyBorder="1" applyAlignment="1">
      <alignment horizontal="right"/>
    </xf>
    <xf numFmtId="168" fontId="38" fillId="0" borderId="73" xfId="149" applyNumberFormat="1" applyFont="1" applyBorder="1" applyAlignment="1">
      <alignment horizontal="right"/>
    </xf>
    <xf numFmtId="0" fontId="53" fillId="0" borderId="33" xfId="149" applyFont="1" applyBorder="1" applyAlignment="1">
      <alignment horizontal="center"/>
    </xf>
    <xf numFmtId="0" fontId="53" fillId="0" borderId="34" xfId="149" applyFont="1" applyBorder="1"/>
    <xf numFmtId="3" fontId="53" fillId="0" borderId="34" xfId="149" applyNumberFormat="1" applyFont="1" applyBorder="1" applyAlignment="1">
      <alignment horizontal="right"/>
    </xf>
    <xf numFmtId="3" fontId="53" fillId="0" borderId="64" xfId="149" applyNumberFormat="1" applyFont="1" applyBorder="1" applyAlignment="1">
      <alignment horizontal="right"/>
    </xf>
    <xf numFmtId="0" fontId="28" fillId="0" borderId="0" xfId="146"/>
    <xf numFmtId="0" fontId="28" fillId="31" borderId="0" xfId="146" applyFill="1"/>
    <xf numFmtId="0" fontId="39" fillId="0" borderId="0" xfId="99"/>
    <xf numFmtId="0" fontId="28" fillId="0" borderId="0" xfId="146" applyAlignment="1">
      <alignment horizontal="center"/>
    </xf>
    <xf numFmtId="0" fontId="28" fillId="31" borderId="0" xfId="146" applyFill="1" applyAlignment="1">
      <alignment horizontal="center"/>
    </xf>
    <xf numFmtId="0" fontId="53" fillId="0" borderId="113" xfId="146" applyFont="1" applyBorder="1" applyAlignment="1">
      <alignment horizontal="center"/>
    </xf>
    <xf numFmtId="0" fontId="53" fillId="31" borderId="106" xfId="146" applyFont="1" applyFill="1" applyBorder="1" applyAlignment="1">
      <alignment horizontal="center"/>
    </xf>
    <xf numFmtId="0" fontId="53" fillId="31" borderId="113" xfId="146" applyFont="1" applyFill="1" applyBorder="1" applyAlignment="1">
      <alignment horizontal="center"/>
    </xf>
    <xf numFmtId="0" fontId="15" fillId="0" borderId="145" xfId="146" applyFont="1" applyBorder="1" applyAlignment="1">
      <alignment horizontal="center"/>
    </xf>
    <xf numFmtId="0" fontId="53" fillId="0" borderId="145" xfId="146" applyFont="1" applyBorder="1" applyAlignment="1">
      <alignment horizontal="center"/>
    </xf>
    <xf numFmtId="0" fontId="53" fillId="31" borderId="146" xfId="146" applyFont="1" applyFill="1" applyBorder="1" applyAlignment="1">
      <alignment horizontal="center"/>
    </xf>
    <xf numFmtId="0" fontId="53" fillId="31" borderId="12" xfId="146" applyFont="1" applyFill="1" applyBorder="1" applyAlignment="1">
      <alignment horizontal="center"/>
    </xf>
    <xf numFmtId="0" fontId="53" fillId="0" borderId="16" xfId="146" applyFont="1" applyBorder="1" applyAlignment="1">
      <alignment horizontal="center"/>
    </xf>
    <xf numFmtId="0" fontId="53" fillId="0" borderId="16" xfId="146" applyFont="1" applyBorder="1" applyAlignment="1">
      <alignment horizontal="center" wrapText="1"/>
    </xf>
    <xf numFmtId="0" fontId="15" fillId="0" borderId="99" xfId="146" applyFont="1" applyBorder="1" applyAlignment="1">
      <alignment horizontal="center"/>
    </xf>
    <xf numFmtId="0" fontId="53" fillId="31" borderId="98" xfId="146" applyFont="1" applyFill="1" applyBorder="1" applyAlignment="1">
      <alignment horizontal="center"/>
    </xf>
    <xf numFmtId="0" fontId="15" fillId="31" borderId="99" xfId="146" applyFont="1" applyFill="1" applyBorder="1" applyAlignment="1">
      <alignment horizontal="center"/>
    </xf>
    <xf numFmtId="0" fontId="15" fillId="0" borderId="98" xfId="146" applyFont="1" applyBorder="1" applyAlignment="1">
      <alignment horizontal="center"/>
    </xf>
    <xf numFmtId="0" fontId="53" fillId="0" borderId="146" xfId="146" applyFont="1" applyBorder="1" applyAlignment="1">
      <alignment horizontal="center"/>
    </xf>
    <xf numFmtId="0" fontId="53" fillId="0" borderId="102" xfId="146" applyFont="1" applyBorder="1" applyAlignment="1">
      <alignment horizontal="center"/>
    </xf>
    <xf numFmtId="0" fontId="53" fillId="31" borderId="102" xfId="146" applyFont="1" applyFill="1" applyBorder="1" applyAlignment="1">
      <alignment horizontal="center"/>
    </xf>
    <xf numFmtId="0" fontId="53" fillId="0" borderId="102" xfId="146" applyFont="1" applyBorder="1" applyAlignment="1">
      <alignment wrapText="1"/>
    </xf>
    <xf numFmtId="0" fontId="15" fillId="36" borderId="102" xfId="146" applyFont="1" applyFill="1" applyBorder="1"/>
    <xf numFmtId="0" fontId="15" fillId="0" borderId="102" xfId="146" applyFont="1" applyBorder="1"/>
    <xf numFmtId="0" fontId="53" fillId="0" borderId="99" xfId="146" applyFont="1" applyBorder="1" applyAlignment="1">
      <alignment horizontal="center"/>
    </xf>
    <xf numFmtId="0" fontId="28" fillId="0" borderId="99" xfId="146" applyBorder="1"/>
    <xf numFmtId="0" fontId="15" fillId="31" borderId="99" xfId="146" applyFont="1" applyFill="1" applyBorder="1"/>
    <xf numFmtId="0" fontId="15" fillId="0" borderId="99" xfId="146" applyFont="1" applyBorder="1"/>
    <xf numFmtId="0" fontId="53" fillId="0" borderId="102" xfId="146" applyFont="1" applyBorder="1"/>
    <xf numFmtId="0" fontId="15" fillId="31" borderId="102" xfId="146" applyFont="1" applyFill="1" applyBorder="1"/>
    <xf numFmtId="0" fontId="28" fillId="0" borderId="102" xfId="146" applyBorder="1"/>
    <xf numFmtId="0" fontId="15" fillId="31" borderId="113" xfId="146" applyFont="1" applyFill="1" applyBorder="1"/>
    <xf numFmtId="0" fontId="15" fillId="0" borderId="113" xfId="146" applyFont="1" applyBorder="1"/>
    <xf numFmtId="3" fontId="15" fillId="0" borderId="113" xfId="146" applyNumberFormat="1" applyFont="1" applyBorder="1"/>
    <xf numFmtId="3" fontId="53" fillId="0" borderId="102" xfId="146" applyNumberFormat="1" applyFont="1" applyBorder="1"/>
    <xf numFmtId="3" fontId="15" fillId="0" borderId="99" xfId="146" applyNumberFormat="1" applyFont="1" applyBorder="1"/>
    <xf numFmtId="3" fontId="15" fillId="0" borderId="102" xfId="146" applyNumberFormat="1" applyFont="1" applyFill="1" applyBorder="1"/>
    <xf numFmtId="0" fontId="53" fillId="0" borderId="113" xfId="146" applyFont="1" applyBorder="1"/>
    <xf numFmtId="3" fontId="53" fillId="0" borderId="113" xfId="146" applyNumberFormat="1" applyFont="1" applyBorder="1"/>
    <xf numFmtId="0" fontId="28" fillId="0" borderId="102" xfId="76" applyFont="1" applyBorder="1" applyAlignment="1">
      <alignment wrapText="1"/>
    </xf>
    <xf numFmtId="0" fontId="28" fillId="31" borderId="102" xfId="76" applyFont="1" applyFill="1" applyBorder="1" applyAlignment="1">
      <alignment horizontal="center"/>
    </xf>
    <xf numFmtId="0" fontId="15" fillId="36" borderId="102" xfId="146" applyFont="1" applyFill="1" applyBorder="1" applyAlignment="1">
      <alignment horizontal="center"/>
    </xf>
    <xf numFmtId="3" fontId="38" fillId="0" borderId="102" xfId="146" applyNumberFormat="1" applyFont="1" applyBorder="1"/>
    <xf numFmtId="3" fontId="15" fillId="0" borderId="102" xfId="146" applyNumberFormat="1" applyFont="1" applyBorder="1"/>
    <xf numFmtId="0" fontId="28" fillId="0" borderId="0" xfId="146" applyBorder="1"/>
    <xf numFmtId="0" fontId="22" fillId="0" borderId="102" xfId="146" applyFont="1" applyBorder="1" applyAlignment="1">
      <alignment horizontal="center"/>
    </xf>
    <xf numFmtId="0" fontId="28" fillId="31" borderId="102" xfId="146" applyFill="1" applyBorder="1"/>
    <xf numFmtId="3" fontId="22" fillId="0" borderId="102" xfId="146" applyNumberFormat="1" applyFont="1" applyBorder="1"/>
    <xf numFmtId="0" fontId="39" fillId="31" borderId="0" xfId="99" applyFill="1"/>
    <xf numFmtId="0" fontId="26" fillId="0" borderId="0" xfId="0" applyFont="1" applyAlignment="1">
      <alignment wrapText="1"/>
    </xf>
    <xf numFmtId="3" fontId="26" fillId="0" borderId="0" xfId="147" applyNumberFormat="1" applyFont="1"/>
    <xf numFmtId="3" fontId="26" fillId="0" borderId="0" xfId="0" applyNumberFormat="1" applyFont="1" applyFill="1"/>
    <xf numFmtId="0" fontId="25" fillId="0" borderId="16" xfId="0" applyFont="1" applyBorder="1" applyAlignment="1">
      <alignment horizontal="center"/>
    </xf>
    <xf numFmtId="0" fontId="25" fillId="0" borderId="16" xfId="0" applyFont="1" applyBorder="1" applyAlignment="1">
      <alignment horizontal="center" wrapText="1"/>
    </xf>
    <xf numFmtId="0" fontId="25" fillId="0" borderId="16" xfId="0" applyFont="1" applyBorder="1" applyAlignment="1">
      <alignment wrapText="1"/>
    </xf>
    <xf numFmtId="3" fontId="25" fillId="0" borderId="16" xfId="0" applyNumberFormat="1" applyFont="1" applyBorder="1" applyAlignment="1">
      <alignment wrapText="1"/>
    </xf>
    <xf numFmtId="0" fontId="26" fillId="0" borderId="16" xfId="0" applyFont="1" applyBorder="1" applyAlignment="1">
      <alignment horizontal="center"/>
    </xf>
    <xf numFmtId="0" fontId="26" fillId="0" borderId="16" xfId="0" applyFont="1" applyBorder="1" applyAlignment="1">
      <alignment wrapText="1"/>
    </xf>
    <xf numFmtId="3" fontId="26" fillId="0" borderId="16" xfId="0" applyNumberFormat="1" applyFont="1" applyBorder="1"/>
    <xf numFmtId="3" fontId="26" fillId="0" borderId="16" xfId="0" applyNumberFormat="1" applyFont="1" applyFill="1" applyBorder="1"/>
    <xf numFmtId="0" fontId="26" fillId="0" borderId="16" xfId="150" applyFont="1" applyFill="1" applyBorder="1" applyAlignment="1">
      <alignment horizontal="center"/>
    </xf>
    <xf numFmtId="3" fontId="26" fillId="0" borderId="16" xfId="150" applyNumberFormat="1" applyFont="1" applyBorder="1"/>
    <xf numFmtId="3" fontId="45" fillId="0" borderId="16" xfId="150" applyNumberFormat="1" applyFont="1" applyBorder="1"/>
    <xf numFmtId="3" fontId="26" fillId="0" borderId="16" xfId="147" applyNumberFormat="1" applyFont="1" applyBorder="1"/>
    <xf numFmtId="0" fontId="26" fillId="0" borderId="16" xfId="150" applyFont="1" applyBorder="1" applyAlignment="1">
      <alignment wrapText="1"/>
    </xf>
    <xf numFmtId="3" fontId="25" fillId="0" borderId="16" xfId="150" applyNumberFormat="1" applyFont="1" applyBorder="1"/>
    <xf numFmtId="0" fontId="26" fillId="0" borderId="16" xfId="147" applyFont="1" applyBorder="1" applyAlignment="1">
      <alignment wrapText="1"/>
    </xf>
    <xf numFmtId="0" fontId="26" fillId="0" borderId="16" xfId="147" applyFont="1" applyBorder="1" applyAlignment="1">
      <alignment horizontal="center"/>
    </xf>
    <xf numFmtId="3" fontId="60" fillId="0" borderId="16" xfId="150" applyNumberFormat="1" applyFont="1" applyBorder="1"/>
    <xf numFmtId="3" fontId="61" fillId="0" borderId="16" xfId="150" applyNumberFormat="1" applyFont="1" applyBorder="1"/>
    <xf numFmtId="0" fontId="25" fillId="0" borderId="16" xfId="147" applyFont="1" applyBorder="1" applyAlignment="1">
      <alignment wrapText="1"/>
    </xf>
    <xf numFmtId="0" fontId="25" fillId="0" borderId="16" xfId="147" applyFont="1" applyBorder="1" applyAlignment="1">
      <alignment horizontal="center"/>
    </xf>
    <xf numFmtId="3" fontId="25" fillId="0" borderId="16" xfId="150" applyNumberFormat="1" applyFont="1" applyFill="1" applyBorder="1"/>
    <xf numFmtId="0" fontId="26" fillId="0" borderId="16" xfId="0" applyFont="1" applyFill="1" applyBorder="1" applyAlignment="1">
      <alignment horizontal="center"/>
    </xf>
    <xf numFmtId="0" fontId="26" fillId="0" borderId="16" xfId="147" applyFont="1" applyFill="1" applyBorder="1" applyAlignment="1">
      <alignment wrapText="1"/>
    </xf>
    <xf numFmtId="0" fontId="26" fillId="0" borderId="16" xfId="147" applyFont="1" applyFill="1" applyBorder="1" applyAlignment="1">
      <alignment horizontal="center"/>
    </xf>
    <xf numFmtId="3" fontId="26" fillId="0" borderId="16" xfId="150" applyNumberFormat="1" applyFont="1" applyFill="1" applyBorder="1"/>
    <xf numFmtId="3" fontId="45" fillId="0" borderId="16" xfId="150" applyNumberFormat="1" applyFont="1" applyFill="1" applyBorder="1"/>
    <xf numFmtId="3" fontId="60" fillId="0" borderId="16" xfId="150" applyNumberFormat="1" applyFont="1" applyFill="1" applyBorder="1"/>
    <xf numFmtId="3" fontId="60" fillId="0" borderId="147" xfId="150" applyNumberFormat="1" applyFont="1" applyFill="1" applyBorder="1"/>
    <xf numFmtId="3" fontId="25" fillId="0" borderId="16" xfId="0" applyNumberFormat="1" applyFont="1" applyFill="1" applyBorder="1"/>
    <xf numFmtId="3" fontId="25" fillId="0" borderId="16" xfId="0" applyNumberFormat="1" applyFont="1" applyBorder="1"/>
    <xf numFmtId="0" fontId="26" fillId="0" borderId="16" xfId="150" applyFont="1" applyBorder="1" applyAlignment="1">
      <alignment horizontal="center"/>
    </xf>
    <xf numFmtId="3" fontId="26" fillId="0" borderId="16" xfId="150" applyNumberFormat="1" applyFont="1" applyBorder="1" applyAlignment="1">
      <alignment horizontal="right" wrapText="1"/>
    </xf>
    <xf numFmtId="3" fontId="45" fillId="0" borderId="21" xfId="150" applyNumberFormat="1" applyFont="1" applyBorder="1"/>
    <xf numFmtId="0" fontId="26" fillId="0" borderId="16" xfId="150" applyFont="1" applyBorder="1" applyAlignment="1">
      <alignment horizontal="left" wrapText="1"/>
    </xf>
    <xf numFmtId="0" fontId="26" fillId="31" borderId="16" xfId="0" applyFont="1" applyFill="1" applyBorder="1" applyAlignment="1">
      <alignment horizontal="center"/>
    </xf>
    <xf numFmtId="0" fontId="26" fillId="31" borderId="16" xfId="147" applyFont="1" applyFill="1" applyBorder="1" applyAlignment="1">
      <alignment wrapText="1"/>
    </xf>
    <xf numFmtId="0" fontId="26" fillId="31" borderId="16" xfId="147" applyFont="1" applyFill="1" applyBorder="1" applyAlignment="1">
      <alignment horizontal="center"/>
    </xf>
    <xf numFmtId="3" fontId="26" fillId="31" borderId="16" xfId="0" applyNumberFormat="1" applyFont="1" applyFill="1" applyBorder="1"/>
    <xf numFmtId="3" fontId="45" fillId="31" borderId="16" xfId="150" applyNumberFormat="1" applyFont="1" applyFill="1" applyBorder="1"/>
    <xf numFmtId="3" fontId="26" fillId="31" borderId="16" xfId="150" applyNumberFormat="1" applyFont="1" applyFill="1" applyBorder="1"/>
    <xf numFmtId="0" fontId="0" fillId="31" borderId="0" xfId="0" applyFill="1"/>
    <xf numFmtId="0" fontId="26" fillId="29" borderId="16" xfId="150" applyFont="1" applyFill="1" applyBorder="1" applyAlignment="1">
      <alignment horizontal="center"/>
    </xf>
    <xf numFmtId="0" fontId="26" fillId="0" borderId="16" xfId="150" applyFont="1" applyFill="1" applyBorder="1" applyAlignment="1">
      <alignment wrapText="1"/>
    </xf>
    <xf numFmtId="0" fontId="26" fillId="0" borderId="16" xfId="0" applyFont="1" applyFill="1" applyBorder="1" applyAlignment="1">
      <alignment wrapText="1"/>
    </xf>
    <xf numFmtId="0" fontId="26" fillId="0" borderId="0" xfId="0" applyFont="1" applyFill="1"/>
    <xf numFmtId="0" fontId="62" fillId="0" borderId="0" xfId="0" applyFont="1"/>
    <xf numFmtId="3" fontId="26" fillId="0" borderId="16" xfId="0" applyNumberFormat="1" applyFont="1" applyBorder="1" applyAlignment="1">
      <alignment wrapText="1"/>
    </xf>
    <xf numFmtId="3" fontId="63" fillId="0" borderId="16" xfId="0" applyNumberFormat="1" applyFont="1" applyFill="1" applyBorder="1"/>
    <xf numFmtId="0" fontId="26" fillId="0" borderId="16" xfId="0" applyFont="1" applyBorder="1"/>
    <xf numFmtId="3" fontId="26" fillId="0" borderId="0" xfId="0" applyNumberFormat="1" applyFont="1"/>
    <xf numFmtId="3" fontId="26" fillId="0" borderId="99" xfId="150" applyNumberFormat="1" applyFont="1" applyBorder="1"/>
    <xf numFmtId="0" fontId="25" fillId="0" borderId="0" xfId="113" applyFont="1" applyAlignment="1">
      <alignment horizontal="center" wrapText="1"/>
    </xf>
    <xf numFmtId="0" fontId="22" fillId="29" borderId="69" xfId="113" applyFont="1" applyFill="1" applyBorder="1" applyAlignment="1">
      <alignment horizontal="center" vertical="center" wrapText="1"/>
    </xf>
    <xf numFmtId="0" fontId="22" fillId="29" borderId="45" xfId="113" applyFont="1" applyFill="1" applyBorder="1" applyAlignment="1">
      <alignment horizontal="center" vertical="center" wrapText="1"/>
    </xf>
    <xf numFmtId="0" fontId="22" fillId="29" borderId="80" xfId="113" applyFont="1" applyFill="1" applyBorder="1" applyAlignment="1">
      <alignment horizontal="center" vertical="center" wrapText="1"/>
    </xf>
    <xf numFmtId="0" fontId="22" fillId="29" borderId="91" xfId="113" applyFont="1" applyFill="1" applyBorder="1" applyAlignment="1">
      <alignment horizontal="center" vertical="center" wrapText="1"/>
    </xf>
    <xf numFmtId="0" fontId="22" fillId="29" borderId="35" xfId="113" applyFont="1" applyFill="1" applyBorder="1" applyAlignment="1">
      <alignment horizontal="center" vertical="center" wrapText="1"/>
    </xf>
    <xf numFmtId="0" fontId="22" fillId="29" borderId="18" xfId="113" applyFont="1" applyFill="1" applyBorder="1" applyAlignment="1">
      <alignment horizontal="center" vertical="center" wrapText="1"/>
    </xf>
    <xf numFmtId="0" fontId="22" fillId="29" borderId="83" xfId="113" applyFont="1" applyFill="1" applyBorder="1" applyAlignment="1">
      <alignment horizontal="center" vertical="center" wrapText="1"/>
    </xf>
    <xf numFmtId="0" fontId="25" fillId="0" borderId="0" xfId="113" applyFont="1" applyBorder="1" applyAlignment="1">
      <alignment horizontal="center"/>
    </xf>
    <xf numFmtId="0" fontId="22" fillId="29" borderId="41" xfId="113" applyFont="1" applyFill="1" applyBorder="1" applyAlignment="1">
      <alignment horizontal="center" vertical="center" wrapText="1"/>
    </xf>
    <xf numFmtId="0" fontId="22" fillId="29" borderId="67" xfId="113" applyFont="1" applyFill="1" applyBorder="1" applyAlignment="1">
      <alignment horizontal="center" vertical="center" wrapText="1"/>
    </xf>
    <xf numFmtId="0" fontId="22" fillId="29" borderId="47" xfId="113" applyFont="1" applyFill="1" applyBorder="1" applyAlignment="1">
      <alignment horizontal="center" vertical="center" wrapText="1"/>
    </xf>
    <xf numFmtId="0" fontId="22" fillId="29" borderId="46" xfId="113" applyFont="1" applyFill="1" applyBorder="1" applyAlignment="1">
      <alignment horizontal="center" vertical="center" wrapText="1"/>
    </xf>
    <xf numFmtId="0" fontId="22" fillId="29" borderId="36" xfId="113" applyFont="1" applyFill="1" applyBorder="1" applyAlignment="1">
      <alignment horizontal="center" vertical="center" wrapText="1"/>
    </xf>
    <xf numFmtId="0" fontId="22" fillId="29" borderId="68" xfId="113" applyFont="1" applyFill="1" applyBorder="1" applyAlignment="1">
      <alignment horizontal="center" vertical="center" wrapText="1"/>
    </xf>
    <xf numFmtId="0" fontId="22" fillId="29" borderId="33" xfId="113" applyFont="1" applyFill="1" applyBorder="1" applyAlignment="1">
      <alignment horizontal="center" vertical="center" wrapText="1"/>
    </xf>
    <xf numFmtId="0" fontId="22" fillId="29" borderId="64" xfId="113" applyFont="1" applyFill="1" applyBorder="1" applyAlignment="1">
      <alignment horizontal="center" vertical="center" wrapText="1"/>
    </xf>
    <xf numFmtId="0" fontId="22" fillId="29" borderId="85" xfId="113" applyFont="1" applyFill="1" applyBorder="1" applyAlignment="1">
      <alignment horizontal="center" vertical="center" wrapText="1"/>
    </xf>
    <xf numFmtId="0" fontId="22" fillId="29" borderId="74" xfId="113" applyFont="1" applyFill="1" applyBorder="1" applyAlignment="1">
      <alignment horizontal="center" vertical="center" wrapText="1"/>
    </xf>
    <xf numFmtId="0" fontId="21" fillId="29" borderId="41" xfId="113" applyFont="1" applyFill="1" applyBorder="1" applyAlignment="1">
      <alignment horizontal="center" vertical="center" wrapText="1"/>
    </xf>
    <xf numFmtId="0" fontId="21" fillId="29" borderId="67" xfId="113" applyFont="1" applyFill="1" applyBorder="1" applyAlignment="1">
      <alignment horizontal="center" vertical="center" wrapText="1"/>
    </xf>
    <xf numFmtId="0" fontId="21" fillId="29" borderId="81" xfId="113" applyFont="1" applyFill="1" applyBorder="1" applyAlignment="1">
      <alignment horizontal="center" vertical="center" wrapText="1"/>
    </xf>
    <xf numFmtId="0" fontId="21" fillId="29" borderId="87" xfId="113" applyFont="1" applyFill="1" applyBorder="1" applyAlignment="1">
      <alignment horizontal="center" vertical="center" wrapText="1"/>
    </xf>
    <xf numFmtId="0" fontId="21" fillId="0" borderId="41" xfId="113" applyFont="1" applyFill="1" applyBorder="1" applyAlignment="1">
      <alignment horizontal="center" vertical="center" wrapText="1"/>
    </xf>
    <xf numFmtId="0" fontId="21" fillId="0" borderId="67" xfId="113" applyFont="1" applyFill="1" applyBorder="1" applyAlignment="1">
      <alignment horizontal="center" vertical="center" wrapText="1"/>
    </xf>
    <xf numFmtId="0" fontId="21" fillId="29" borderId="33" xfId="113" applyFont="1" applyFill="1" applyBorder="1" applyAlignment="1">
      <alignment horizontal="center" vertical="center" wrapText="1"/>
    </xf>
    <xf numFmtId="0" fontId="21" fillId="29" borderId="68" xfId="113" applyFont="1" applyFill="1" applyBorder="1" applyAlignment="1">
      <alignment horizontal="center" vertical="center" wrapText="1"/>
    </xf>
    <xf numFmtId="0" fontId="21" fillId="29" borderId="64" xfId="113" applyFont="1" applyFill="1" applyBorder="1" applyAlignment="1">
      <alignment horizontal="center" vertical="center" wrapText="1"/>
    </xf>
    <xf numFmtId="0" fontId="21" fillId="29" borderId="88" xfId="113" applyFont="1" applyFill="1" applyBorder="1" applyAlignment="1">
      <alignment horizontal="center" vertical="center" wrapText="1"/>
    </xf>
    <xf numFmtId="3" fontId="22" fillId="0" borderId="25" xfId="0" applyNumberFormat="1" applyFont="1" applyBorder="1" applyAlignment="1">
      <alignment horizontal="center" vertical="center" wrapText="1"/>
    </xf>
    <xf numFmtId="3" fontId="22" fillId="0" borderId="24" xfId="0" applyNumberFormat="1" applyFont="1" applyBorder="1" applyAlignment="1">
      <alignment horizontal="center" vertical="center" wrapText="1"/>
    </xf>
    <xf numFmtId="0" fontId="22" fillId="0" borderId="44"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89" xfId="0" applyFont="1" applyBorder="1" applyAlignment="1">
      <alignment horizontal="center" vertical="center" wrapText="1"/>
    </xf>
    <xf numFmtId="0" fontId="22" fillId="0" borderId="76" xfId="0" applyFont="1" applyBorder="1" applyAlignment="1">
      <alignment horizontal="center" vertical="center" wrapText="1"/>
    </xf>
    <xf numFmtId="0" fontId="22" fillId="0" borderId="87" xfId="0" applyFont="1" applyBorder="1" applyAlignment="1">
      <alignment horizontal="center" vertical="center" wrapText="1"/>
    </xf>
    <xf numFmtId="0" fontId="22" fillId="0" borderId="78" xfId="0" applyFont="1" applyBorder="1" applyAlignment="1">
      <alignment horizontal="center" vertical="center" wrapText="1"/>
    </xf>
    <xf numFmtId="0" fontId="25" fillId="0" borderId="0" xfId="0" applyFont="1" applyAlignment="1">
      <alignment horizontal="center"/>
    </xf>
    <xf numFmtId="0" fontId="21" fillId="0" borderId="25" xfId="107" applyFont="1" applyFill="1" applyBorder="1" applyAlignment="1">
      <alignment horizontal="center" vertical="center"/>
    </xf>
    <xf numFmtId="0" fontId="21" fillId="0" borderId="24" xfId="107" applyFont="1" applyFill="1" applyBorder="1" applyAlignment="1">
      <alignment horizontal="center" vertical="center"/>
    </xf>
    <xf numFmtId="0" fontId="21" fillId="0" borderId="26" xfId="107" applyFont="1" applyBorder="1" applyAlignment="1">
      <alignment horizontal="center" vertical="center"/>
    </xf>
    <xf numFmtId="0" fontId="21" fillId="0" borderId="19" xfId="107" applyFont="1" applyBorder="1" applyAlignment="1">
      <alignment horizontal="center" vertical="center"/>
    </xf>
    <xf numFmtId="2" fontId="21" fillId="0" borderId="26" xfId="107" applyNumberFormat="1" applyFont="1" applyFill="1" applyBorder="1" applyAlignment="1">
      <alignment horizontal="center" vertical="center"/>
    </xf>
    <xf numFmtId="2" fontId="21" fillId="0" borderId="19" xfId="107" applyNumberFormat="1" applyFont="1" applyFill="1" applyBorder="1" applyAlignment="1">
      <alignment horizontal="center" vertical="center"/>
    </xf>
    <xf numFmtId="0" fontId="21" fillId="29" borderId="26" xfId="107" applyFont="1" applyFill="1" applyBorder="1" applyAlignment="1">
      <alignment horizontal="center" vertical="center"/>
    </xf>
    <xf numFmtId="0" fontId="21" fillId="29" borderId="19" xfId="107" applyFont="1" applyFill="1" applyBorder="1" applyAlignment="1">
      <alignment horizontal="center" vertical="center"/>
    </xf>
    <xf numFmtId="3" fontId="21" fillId="29" borderId="61" xfId="107" applyNumberFormat="1" applyFont="1" applyFill="1" applyBorder="1" applyAlignment="1">
      <alignment horizontal="center" vertical="center"/>
    </xf>
    <xf numFmtId="3" fontId="21" fillId="29" borderId="57" xfId="107" applyNumberFormat="1" applyFont="1" applyFill="1" applyBorder="1" applyAlignment="1">
      <alignment horizontal="center" vertical="center"/>
    </xf>
    <xf numFmtId="0" fontId="21" fillId="30" borderId="81" xfId="113" applyFont="1" applyFill="1" applyBorder="1" applyAlignment="1">
      <alignment horizontal="center" vertical="center" wrapText="1"/>
    </xf>
    <xf numFmtId="0" fontId="21" fillId="30" borderId="123" xfId="113" applyFont="1" applyFill="1" applyBorder="1" applyAlignment="1">
      <alignment horizontal="center" vertical="center" wrapText="1"/>
    </xf>
    <xf numFmtId="0" fontId="21" fillId="30" borderId="89" xfId="113" applyFont="1" applyFill="1" applyBorder="1" applyAlignment="1">
      <alignment horizontal="center" vertical="center" wrapText="1"/>
    </xf>
    <xf numFmtId="0" fontId="21" fillId="30" borderId="87" xfId="113" applyFont="1" applyFill="1" applyBorder="1" applyAlignment="1">
      <alignment horizontal="center" vertical="center" wrapText="1"/>
    </xf>
    <xf numFmtId="0" fontId="21" fillId="30" borderId="88" xfId="113" applyFont="1" applyFill="1" applyBorder="1" applyAlignment="1">
      <alignment horizontal="center" vertical="center" wrapText="1"/>
    </xf>
    <xf numFmtId="0" fontId="21" fillId="30" borderId="85" xfId="113" applyFont="1" applyFill="1" applyBorder="1" applyAlignment="1">
      <alignment horizontal="center" vertical="center" wrapText="1"/>
    </xf>
    <xf numFmtId="0" fontId="21" fillId="30" borderId="74" xfId="113" applyFont="1" applyFill="1" applyBorder="1" applyAlignment="1">
      <alignment horizontal="center" vertical="center" wrapText="1"/>
    </xf>
    <xf numFmtId="0" fontId="21" fillId="30" borderId="41" xfId="113" applyFont="1" applyFill="1" applyBorder="1" applyAlignment="1">
      <alignment horizontal="center" vertical="center" wrapText="1"/>
    </xf>
    <xf numFmtId="0" fontId="21" fillId="30" borderId="47" xfId="113" applyFont="1" applyFill="1" applyBorder="1" applyAlignment="1">
      <alignment horizontal="center" vertical="center" wrapText="1"/>
    </xf>
    <xf numFmtId="0" fontId="21" fillId="0" borderId="38" xfId="113" applyFont="1" applyBorder="1" applyAlignment="1">
      <alignment horizontal="center" vertical="center" wrapText="1"/>
    </xf>
    <xf numFmtId="0" fontId="21" fillId="0" borderId="71" xfId="113" applyFont="1" applyBorder="1" applyAlignment="1">
      <alignment horizontal="center" vertical="center" wrapText="1"/>
    </xf>
    <xf numFmtId="0" fontId="21" fillId="0" borderId="69" xfId="113" applyFont="1" applyBorder="1" applyAlignment="1">
      <alignment horizontal="center" vertical="center" wrapText="1"/>
    </xf>
    <xf numFmtId="0" fontId="21" fillId="0" borderId="45" xfId="113" applyFont="1" applyBorder="1" applyAlignment="1">
      <alignment horizontal="center" vertical="center" wrapText="1"/>
    </xf>
    <xf numFmtId="0" fontId="21" fillId="0" borderId="38" xfId="113" applyFont="1" applyFill="1" applyBorder="1" applyAlignment="1">
      <alignment horizontal="center" vertical="center" wrapText="1"/>
    </xf>
    <xf numFmtId="0" fontId="21" fillId="0" borderId="71" xfId="113" applyFont="1" applyFill="1" applyBorder="1" applyAlignment="1">
      <alignment horizontal="center" vertical="center" wrapText="1"/>
    </xf>
    <xf numFmtId="0" fontId="21" fillId="0" borderId="82" xfId="113" applyFont="1" applyFill="1" applyBorder="1" applyAlignment="1">
      <alignment horizontal="center" vertical="center" wrapText="1"/>
    </xf>
    <xf numFmtId="0" fontId="21" fillId="0" borderId="69" xfId="113" applyFont="1" applyFill="1" applyBorder="1" applyAlignment="1">
      <alignment horizontal="center" vertical="center" wrapText="1"/>
    </xf>
    <xf numFmtId="0" fontId="21" fillId="0" borderId="45" xfId="113" applyFont="1" applyFill="1" applyBorder="1" applyAlignment="1">
      <alignment horizontal="center" vertical="center" wrapText="1"/>
    </xf>
    <xf numFmtId="0" fontId="21" fillId="0" borderId="80" xfId="113" applyFont="1" applyFill="1" applyBorder="1" applyAlignment="1">
      <alignment horizontal="center" vertical="center" wrapText="1"/>
    </xf>
    <xf numFmtId="0" fontId="21" fillId="0" borderId="0" xfId="113" applyFont="1" applyBorder="1" applyAlignment="1">
      <alignment horizontal="center"/>
    </xf>
    <xf numFmtId="0" fontId="21" fillId="0" borderId="0" xfId="106" applyFont="1" applyBorder="1" applyAlignment="1">
      <alignment horizontal="center"/>
    </xf>
    <xf numFmtId="0" fontId="21" fillId="0" borderId="0" xfId="113" applyFont="1" applyAlignment="1">
      <alignment horizontal="center"/>
    </xf>
    <xf numFmtId="0" fontId="21" fillId="0" borderId="85" xfId="113" applyFont="1" applyBorder="1" applyAlignment="1">
      <alignment horizontal="center" vertical="center" wrapText="1"/>
    </xf>
    <xf numFmtId="0" fontId="21" fillId="0" borderId="49" xfId="113" applyFont="1" applyBorder="1" applyAlignment="1">
      <alignment horizontal="center" vertical="center" wrapText="1"/>
    </xf>
    <xf numFmtId="0" fontId="21" fillId="0" borderId="74" xfId="113" applyFont="1" applyBorder="1" applyAlignment="1">
      <alignment horizontal="center" vertical="center" wrapText="1"/>
    </xf>
    <xf numFmtId="0" fontId="21" fillId="0" borderId="82" xfId="113" applyFont="1" applyBorder="1" applyAlignment="1">
      <alignment horizontal="center" vertical="center" wrapText="1"/>
    </xf>
    <xf numFmtId="0" fontId="21" fillId="0" borderId="80" xfId="113" applyFont="1" applyBorder="1" applyAlignment="1">
      <alignment horizontal="center" vertical="center" wrapText="1"/>
    </xf>
    <xf numFmtId="0" fontId="21" fillId="0" borderId="41" xfId="113" applyFont="1" applyFill="1" applyBorder="1" applyAlignment="1">
      <alignment horizontal="center" vertical="center"/>
    </xf>
    <xf numFmtId="0" fontId="21" fillId="0" borderId="67" xfId="113" applyFont="1" applyFill="1" applyBorder="1" applyAlignment="1">
      <alignment horizontal="center" vertical="center"/>
    </xf>
    <xf numFmtId="0" fontId="21" fillId="0" borderId="47" xfId="113" applyFont="1" applyFill="1" applyBorder="1" applyAlignment="1">
      <alignment horizontal="center" vertical="center"/>
    </xf>
    <xf numFmtId="0" fontId="21" fillId="0" borderId="41" xfId="113" applyFont="1" applyBorder="1" applyAlignment="1">
      <alignment horizontal="center" vertical="center"/>
    </xf>
    <xf numFmtId="0" fontId="21" fillId="0" borderId="67" xfId="113" applyFont="1" applyBorder="1" applyAlignment="1">
      <alignment horizontal="center" vertical="center"/>
    </xf>
    <xf numFmtId="0" fontId="21" fillId="0" borderId="41" xfId="113" applyFont="1" applyBorder="1" applyAlignment="1">
      <alignment horizontal="center" vertical="center" wrapText="1"/>
    </xf>
    <xf numFmtId="0" fontId="21" fillId="0" borderId="67" xfId="113" applyFont="1" applyBorder="1" applyAlignment="1">
      <alignment horizontal="center" vertical="center" wrapText="1"/>
    </xf>
    <xf numFmtId="0" fontId="21" fillId="0" borderId="47" xfId="113" applyFont="1" applyBorder="1" applyAlignment="1">
      <alignment horizontal="center" vertical="center" wrapText="1"/>
    </xf>
    <xf numFmtId="0" fontId="21" fillId="0" borderId="47" xfId="113" applyFont="1" applyBorder="1" applyAlignment="1">
      <alignment horizontal="center" vertical="center"/>
    </xf>
    <xf numFmtId="0" fontId="21" fillId="0" borderId="41" xfId="106" applyFont="1" applyBorder="1" applyAlignment="1">
      <alignment horizontal="center" vertical="center" wrapText="1"/>
    </xf>
    <xf numFmtId="0" fontId="21" fillId="0" borderId="67" xfId="106" applyFont="1" applyBorder="1" applyAlignment="1">
      <alignment horizontal="center" vertical="center" wrapText="1"/>
    </xf>
    <xf numFmtId="0" fontId="21" fillId="30" borderId="67" xfId="113" applyFont="1" applyFill="1" applyBorder="1" applyAlignment="1">
      <alignment horizontal="center" vertical="center" wrapText="1"/>
    </xf>
    <xf numFmtId="0" fontId="21" fillId="0" borderId="45" xfId="138" applyFont="1" applyBorder="1" applyAlignment="1">
      <alignment horizontal="center"/>
    </xf>
    <xf numFmtId="0" fontId="22" fillId="0" borderId="13" xfId="138" applyFont="1" applyBorder="1" applyAlignment="1">
      <alignment horizontal="left" wrapText="1"/>
    </xf>
    <xf numFmtId="0" fontId="22" fillId="0" borderId="125" xfId="138" applyFont="1" applyBorder="1" applyAlignment="1">
      <alignment horizontal="left" wrapText="1"/>
    </xf>
    <xf numFmtId="0" fontId="25" fillId="0" borderId="0" xfId="106" applyFont="1" applyAlignment="1">
      <alignment horizontal="center"/>
    </xf>
    <xf numFmtId="0" fontId="25" fillId="0" borderId="0" xfId="110" applyFont="1" applyFill="1" applyBorder="1" applyAlignment="1">
      <alignment horizontal="center" wrapText="1"/>
    </xf>
    <xf numFmtId="0" fontId="21" fillId="0" borderId="0" xfId="138" applyFont="1" applyBorder="1" applyAlignment="1">
      <alignment horizontal="center" wrapText="1"/>
    </xf>
    <xf numFmtId="3" fontId="25" fillId="0" borderId="0" xfId="104" applyNumberFormat="1" applyFont="1" applyBorder="1" applyAlignment="1">
      <alignment horizontal="center" wrapText="1"/>
    </xf>
    <xf numFmtId="3" fontId="21" fillId="0" borderId="0" xfId="106" applyNumberFormat="1" applyFont="1" applyAlignment="1">
      <alignment horizontal="center"/>
    </xf>
    <xf numFmtId="0" fontId="25" fillId="0" borderId="0" xfId="106" applyFont="1" applyBorder="1" applyAlignment="1">
      <alignment horizontal="center"/>
    </xf>
    <xf numFmtId="3" fontId="20" fillId="0" borderId="0" xfId="106" applyNumberFormat="1" applyFont="1" applyAlignment="1">
      <alignment horizontal="center"/>
    </xf>
    <xf numFmtId="0" fontId="21" fillId="0" borderId="0" xfId="106" applyFont="1" applyAlignment="1">
      <alignment horizontal="center" wrapText="1"/>
    </xf>
    <xf numFmtId="0" fontId="25" fillId="0" borderId="0" xfId="141" applyFont="1" applyAlignment="1">
      <alignment horizontal="center" wrapText="1"/>
    </xf>
    <xf numFmtId="0" fontId="25" fillId="0" borderId="0" xfId="141" applyFont="1" applyBorder="1" applyAlignment="1">
      <alignment horizontal="center"/>
    </xf>
    <xf numFmtId="3" fontId="25" fillId="0" borderId="16" xfId="0" applyNumberFormat="1" applyFont="1" applyBorder="1" applyAlignment="1">
      <alignment wrapText="1"/>
    </xf>
    <xf numFmtId="0" fontId="25" fillId="0" borderId="16" xfId="0" applyFont="1" applyBorder="1"/>
    <xf numFmtId="3" fontId="25" fillId="0" borderId="16" xfId="0" applyNumberFormat="1" applyFont="1" applyFill="1" applyBorder="1" applyAlignment="1">
      <alignment wrapText="1"/>
    </xf>
    <xf numFmtId="0" fontId="25" fillId="0" borderId="0" xfId="146" applyFont="1" applyBorder="1" applyAlignment="1">
      <alignment horizontal="center"/>
    </xf>
    <xf numFmtId="0" fontId="53" fillId="0" borderId="113" xfId="146" applyFont="1" applyBorder="1" applyAlignment="1">
      <alignment horizontal="center"/>
    </xf>
    <xf numFmtId="0" fontId="25" fillId="0" borderId="0" xfId="148" applyFont="1" applyAlignment="1">
      <alignment horizontal="center"/>
    </xf>
    <xf numFmtId="3" fontId="36" fillId="0" borderId="0" xfId="143" applyNumberFormat="1" applyFont="1" applyFill="1" applyBorder="1" applyAlignment="1">
      <alignment horizontal="left" wrapText="1"/>
    </xf>
    <xf numFmtId="3" fontId="36" fillId="0" borderId="0" xfId="143" applyNumberFormat="1" applyFont="1" applyFill="1" applyAlignment="1">
      <alignment horizontal="left" wrapText="1"/>
    </xf>
    <xf numFmtId="3" fontId="21" fillId="0" borderId="0" xfId="143" applyNumberFormat="1" applyFont="1" applyBorder="1" applyAlignment="1">
      <alignment horizontal="center" wrapText="1"/>
    </xf>
    <xf numFmtId="3" fontId="36" fillId="0" borderId="0" xfId="143" applyNumberFormat="1" applyFont="1" applyFill="1" applyAlignment="1">
      <alignment horizontal="center" wrapText="1"/>
    </xf>
    <xf numFmtId="3" fontId="36" fillId="0" borderId="0" xfId="143" applyNumberFormat="1" applyFont="1" applyFill="1" applyBorder="1" applyAlignment="1">
      <alignment horizontal="center" wrapText="1"/>
    </xf>
    <xf numFmtId="3" fontId="36" fillId="0" borderId="0" xfId="143" applyNumberFormat="1" applyFont="1" applyFill="1" applyAlignment="1">
      <alignment wrapText="1"/>
    </xf>
    <xf numFmtId="0" fontId="25" fillId="0" borderId="0" xfId="144" applyFont="1" applyBorder="1" applyAlignment="1">
      <alignment horizontal="center" wrapText="1"/>
    </xf>
    <xf numFmtId="3" fontId="26" fillId="0" borderId="0" xfId="98" applyNumberFormat="1" applyFont="1" applyBorder="1" applyAlignment="1">
      <alignment horizontal="right"/>
    </xf>
    <xf numFmtId="0" fontId="25" fillId="0" borderId="0" xfId="98" applyFont="1" applyBorder="1" applyAlignment="1">
      <alignment horizontal="center"/>
    </xf>
    <xf numFmtId="0" fontId="28" fillId="0" borderId="12" xfId="98" applyBorder="1" applyAlignment="1">
      <alignment horizontal="center"/>
    </xf>
    <xf numFmtId="0" fontId="26" fillId="31" borderId="0" xfId="0" applyFont="1" applyFill="1" applyBorder="1" applyAlignment="1">
      <alignment horizontal="right"/>
    </xf>
    <xf numFmtId="0" fontId="25" fillId="0" borderId="0" xfId="0" applyFont="1" applyFill="1" applyBorder="1" applyAlignment="1">
      <alignment horizontal="center"/>
    </xf>
    <xf numFmtId="0" fontId="21" fillId="0" borderId="0" xfId="113" applyFont="1" applyAlignment="1">
      <alignment horizontal="center" wrapText="1"/>
    </xf>
  </cellXfs>
  <cellStyles count="151">
    <cellStyle name="20% - 1. jelölőszín" xfId="1" builtinId="30" customBuiltin="1"/>
    <cellStyle name="20% - 1. jelölőszín 2" xfId="2"/>
    <cellStyle name="20% - 2. jelölőszín" xfId="3" builtinId="34" customBuiltin="1"/>
    <cellStyle name="20% - 2. jelölőszín 2" xfId="4"/>
    <cellStyle name="20% - 3. jelölőszín" xfId="5" builtinId="38" customBuiltin="1"/>
    <cellStyle name="20% - 3. jelölőszín 2" xfId="6"/>
    <cellStyle name="20% - 4. jelölőszín" xfId="7" builtinId="42" customBuiltin="1"/>
    <cellStyle name="20% - 4. jelölőszín 2" xfId="8"/>
    <cellStyle name="20% - 5. jelölőszín" xfId="9" builtinId="46" customBuiltin="1"/>
    <cellStyle name="20% - 5. jelölőszín 2" xfId="10"/>
    <cellStyle name="20% - 6. jelölőszín" xfId="11" builtinId="50" customBuiltin="1"/>
    <cellStyle name="20% - 6. jelölőszín 2" xfId="12"/>
    <cellStyle name="20% - Accent1" xfId="13"/>
    <cellStyle name="20% - Accent2" xfId="14"/>
    <cellStyle name="20% - Accent3" xfId="15"/>
    <cellStyle name="20% - Accent4" xfId="16"/>
    <cellStyle name="20% - Accent5" xfId="17"/>
    <cellStyle name="20% - Accent6" xfId="18"/>
    <cellStyle name="40% - 1. jelölőszín" xfId="19" builtinId="31" customBuiltin="1"/>
    <cellStyle name="40% - 1. jelölőszín 2" xfId="20"/>
    <cellStyle name="40% - 2. jelölőszín" xfId="21" builtinId="35" customBuiltin="1"/>
    <cellStyle name="40% - 2. jelölőszín 2" xfId="22"/>
    <cellStyle name="40% - 3. jelölőszín" xfId="23" builtinId="39" customBuiltin="1"/>
    <cellStyle name="40% - 3. jelölőszín 2" xfId="24"/>
    <cellStyle name="40% - 4. jelölőszín" xfId="25" builtinId="43" customBuiltin="1"/>
    <cellStyle name="40% - 4. jelölőszín 2" xfId="26"/>
    <cellStyle name="40% - 5. jelölőszín" xfId="27" builtinId="47" customBuiltin="1"/>
    <cellStyle name="40% - 5. jelölőszín 2" xfId="28"/>
    <cellStyle name="40% - 6. jelölőszín" xfId="29" builtinId="51" customBuiltin="1"/>
    <cellStyle name="40% - 6. jelölőszín 2" xfId="30"/>
    <cellStyle name="40% - Accent1" xfId="31"/>
    <cellStyle name="40% - Accent2" xfId="32"/>
    <cellStyle name="40% - Accent3" xfId="33"/>
    <cellStyle name="40% - Accent4" xfId="34"/>
    <cellStyle name="40% - Accent5" xfId="35"/>
    <cellStyle name="40% - Accent6" xfId="36"/>
    <cellStyle name="60% - 1. jelölőszín" xfId="37" builtinId="32" customBuiltin="1"/>
    <cellStyle name="60% - 1. jelölőszín 2" xfId="38"/>
    <cellStyle name="60% - 2. jelölőszín" xfId="39" builtinId="36" customBuiltin="1"/>
    <cellStyle name="60% - 2. jelölőszín 2" xfId="40"/>
    <cellStyle name="60% - 3. jelölőszín" xfId="41" builtinId="40" customBuiltin="1"/>
    <cellStyle name="60% - 3. jelölőszín 2" xfId="42"/>
    <cellStyle name="60% - 4. jelölőszín" xfId="43" builtinId="44" customBuiltin="1"/>
    <cellStyle name="60% - 4. jelölőszín 2" xfId="44"/>
    <cellStyle name="60% - 5. jelölőszín" xfId="45" builtinId="48" customBuiltin="1"/>
    <cellStyle name="60% - 5. jelölőszín 2" xfId="46"/>
    <cellStyle name="60% - 6. jelölőszín" xfId="47" builtinId="52" customBuiltin="1"/>
    <cellStyle name="60% - 6. jelölőszín 2" xfId="48"/>
    <cellStyle name="60% - Accent1" xfId="49"/>
    <cellStyle name="60% - Accent2" xfId="50"/>
    <cellStyle name="60% - Accent3" xfId="51"/>
    <cellStyle name="60% - Accent4" xfId="52"/>
    <cellStyle name="60% - Accent5" xfId="53"/>
    <cellStyle name="60% - Accent6" xfId="54"/>
    <cellStyle name="Accent1" xfId="55"/>
    <cellStyle name="Accent2" xfId="56"/>
    <cellStyle name="Accent3" xfId="57"/>
    <cellStyle name="Accent4" xfId="58"/>
    <cellStyle name="Accent5" xfId="59"/>
    <cellStyle name="Accent6" xfId="60"/>
    <cellStyle name="Bad" xfId="61"/>
    <cellStyle name="Bevitel" xfId="62" builtinId="20" customBuiltin="1"/>
    <cellStyle name="Bevitel 2" xfId="63"/>
    <cellStyle name="Calculation" xfId="64"/>
    <cellStyle name="Check Cell" xfId="65"/>
    <cellStyle name="Cím" xfId="66" builtinId="15" customBuiltin="1"/>
    <cellStyle name="Cím 2" xfId="67"/>
    <cellStyle name="Címsor 1" xfId="68" builtinId="16" customBuiltin="1"/>
    <cellStyle name="Címsor 1 2" xfId="69"/>
    <cellStyle name="Címsor 2" xfId="70" builtinId="17" customBuiltin="1"/>
    <cellStyle name="Címsor 2 2" xfId="71"/>
    <cellStyle name="Címsor 3" xfId="72" builtinId="18" customBuiltin="1"/>
    <cellStyle name="Címsor 3 2" xfId="73"/>
    <cellStyle name="Címsor 4" xfId="74" builtinId="19" customBuiltin="1"/>
    <cellStyle name="Címsor 4 2" xfId="75"/>
    <cellStyle name="Ellenőrzőcella 2" xfId="121"/>
    <cellStyle name="Excel Built-in Normál_2012. évi költségvetés I. módosítás VÉGLEGES" xfId="76"/>
    <cellStyle name="Excel Built-in Normál_2013 évi költségvetéshez 2013.02.19._2014 évi költségvetés Tündi táblák" xfId="146"/>
    <cellStyle name="Explanatory Text" xfId="77"/>
    <cellStyle name="Ezres" xfId="78" builtinId="3"/>
    <cellStyle name="Ezres 2" xfId="79"/>
    <cellStyle name="Ezres 3" xfId="80"/>
    <cellStyle name="Ezres 4" xfId="81"/>
    <cellStyle name="Figyelmeztetés" xfId="82" builtinId="11" customBuiltin="1"/>
    <cellStyle name="Figyelmeztetés 2" xfId="83"/>
    <cellStyle name="Good" xfId="84"/>
    <cellStyle name="Heading 1" xfId="85"/>
    <cellStyle name="Heading 2" xfId="86"/>
    <cellStyle name="Heading 3" xfId="87"/>
    <cellStyle name="Heading 4" xfId="88"/>
    <cellStyle name="Hivatkozott cella" xfId="89" builtinId="24" customBuiltin="1"/>
    <cellStyle name="Hivatkozott cella 2" xfId="90"/>
    <cellStyle name="Input" xfId="91"/>
    <cellStyle name="Jegyzet" xfId="92" builtinId="10" customBuiltin="1"/>
    <cellStyle name="Jegyzet 2" xfId="93"/>
    <cellStyle name="Jelölőszín (1) 2" xfId="122"/>
    <cellStyle name="Jelölőszín (2) 2" xfId="123"/>
    <cellStyle name="Jelölőszín (3) 2" xfId="124"/>
    <cellStyle name="Jelölőszín (4) 2" xfId="125"/>
    <cellStyle name="Jelölőszín (5) 2" xfId="126"/>
    <cellStyle name="Jelölőszín (6) 2" xfId="127"/>
    <cellStyle name="Jó 2" xfId="128"/>
    <cellStyle name="Kimenet" xfId="94" builtinId="21" customBuiltin="1"/>
    <cellStyle name="Kimenet 2" xfId="95"/>
    <cellStyle name="Linked Cell" xfId="96"/>
    <cellStyle name="Magyarázó szöveg 2" xfId="129"/>
    <cellStyle name="Neutral" xfId="97"/>
    <cellStyle name="Normál" xfId="0" builtinId="0"/>
    <cellStyle name="Normál 2" xfId="98"/>
    <cellStyle name="Normál 2 2" xfId="135"/>
    <cellStyle name="Normál 3" xfId="99"/>
    <cellStyle name="Normál 4" xfId="100"/>
    <cellStyle name="Normál 4 2" xfId="101"/>
    <cellStyle name="Normál 4 2 2" xfId="136"/>
    <cellStyle name="Normál 4 3" xfId="137"/>
    <cellStyle name="Normál 4_KÖLTSÉGVETÉS 2018. I.MÓDOSÍTÁS" xfId="130"/>
    <cellStyle name="Normál 5" xfId="102"/>
    <cellStyle name="Normál 6" xfId="131"/>
    <cellStyle name="Normál_2007. ktgvetés II. forduló_2013. évi költségvetés I." xfId="103"/>
    <cellStyle name="Normál_2007_Koncepció táblák_2013. évi költségvetés I." xfId="104"/>
    <cellStyle name="Normál_2012. évi költségvetés előirányzat nyilvántartás VÉGLEGES 2." xfId="105"/>
    <cellStyle name="Normál_2012. évi költségvetés I. módosítás VÉGLEGES" xfId="144"/>
    <cellStyle name="Normál_2012. évi költségvetés IV. módosítás" xfId="138"/>
    <cellStyle name="Normál_2013 évi költségvetéshez 2013.02.19." xfId="147"/>
    <cellStyle name="Normál_2013 évi költségvetéshez 2013.02.19._2014 évi költségvetés Tündi táblák" xfId="143"/>
    <cellStyle name="Normál_2013. évi költségvetés I." xfId="106"/>
    <cellStyle name="Normál_2013. évi költségvetés I._2013. évi költségvetés előirányzat nyilvántartás" xfId="107"/>
    <cellStyle name="Normál_2013. évi költségvetés I._2013. évi költségvetés II. forduló testületi előterjesztés" xfId="140"/>
    <cellStyle name="Normál_2013. évi költségvetés I._iNTÉZMÉNYI NORMATÍVA 2014" xfId="108"/>
    <cellStyle name="Normál_2013. évi költségvetés II. forduló testületi előterjesztés" xfId="141"/>
    <cellStyle name="Normál_2013. évi költségvetés II. forduló testületi előterjesztés2." xfId="148"/>
    <cellStyle name="Normál_2014. évi kv. 6. tábla_kitöltve_szűkített II.fordulóhoz 2" xfId="139"/>
    <cellStyle name="Normál_4. sz. melléklet" xfId="149"/>
    <cellStyle name="Normal_KARSZJ3" xfId="109"/>
    <cellStyle name="Normál_költségvetés10melléklet_2013. évi költségvetés I." xfId="110"/>
    <cellStyle name="Normal_KTRSZJ" xfId="111"/>
    <cellStyle name="Normál_Másolat eredetijeKÖLTSÉGVETÉS2005új1" xfId="112"/>
    <cellStyle name="Normál_Másolat eredetijeKÖLTSÉGVETÉS2005új1 2" xfId="145"/>
    <cellStyle name="Normál_Másolat eredetijeKÖLTSÉGVETÉS2005új1_2013. évi költségvetés I." xfId="113"/>
    <cellStyle name="Normál_Másolat eredetijeKÖLTSÉGVETÉS2005új1_2013. évi költségvetés II. forduló testületi előterjesztés" xfId="142"/>
    <cellStyle name="Normál_Munka4_2013 évi költségvetéshez 2013.02.19." xfId="150"/>
    <cellStyle name="Note" xfId="114"/>
    <cellStyle name="Output" xfId="115"/>
    <cellStyle name="Összesen" xfId="116" builtinId="25" customBuiltin="1"/>
    <cellStyle name="Összesen 2" xfId="117"/>
    <cellStyle name="Rossz 2" xfId="132"/>
    <cellStyle name="Semleges 2" xfId="133"/>
    <cellStyle name="Számítás 2" xfId="134"/>
    <cellStyle name="Title" xfId="118"/>
    <cellStyle name="Total" xfId="119"/>
    <cellStyle name="Warning Text" xfId="1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20FORDUL&#211;%20KIK&#220;LD&#214;T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Dokumentumok\el&#337;terjeszt&#233;s\2018.%20&#233;vi%20el&#337;terjeszt&#233;sek\2018.%20&#233;vi%20k&#246;lts&#233;gvet&#233;s\Allami%20t&#225;mogat&#225;sokK&#246;lts&#233;gveteshez%20t&#225;bl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I.%20fordul&#243;%20J&#211;%2002.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I.%20fordul&#243;%20KIK&#220;LD&#214;TT%20V&#201;GLEGES%2002.28..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kincst&#225;r\REPASY%20TAF\2020.%20&#233;v\2020.%20&#233;vi%20k&#246;lts&#233;gvet&#233;s\&#214;nkorm&#225;nyzat\&#214;NKORM&#193;NYZAT%202020.%20&#233;v%20k&#246;lts&#233;gvet&#233;s%20II.%20fordul&#243;%20Kik&#252;ld&#246;tt%20JAV.%2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5.tábla (2)"/>
      <sheetName val="5b. sz. tábla  (2)"/>
      <sheetName val="6. sz. tábla 1"/>
      <sheetName val="7. sz. tábla  (3)"/>
      <sheetName val="Munka1"/>
    </sheetNames>
    <sheetDataSet>
      <sheetData sheetId="0"/>
      <sheetData sheetId="1">
        <row r="7">
          <cell r="K7">
            <v>1311563771</v>
          </cell>
        </row>
      </sheetData>
      <sheetData sheetId="2">
        <row r="13">
          <cell r="K13">
            <v>121927634</v>
          </cell>
        </row>
        <row r="31">
          <cell r="K31">
            <v>0</v>
          </cell>
        </row>
        <row r="32">
          <cell r="K32">
            <v>0</v>
          </cell>
        </row>
      </sheetData>
      <sheetData sheetId="3"/>
      <sheetData sheetId="4"/>
      <sheetData sheetId="5"/>
      <sheetData sheetId="6">
        <row r="9">
          <cell r="R9">
            <v>9431060</v>
          </cell>
        </row>
      </sheetData>
      <sheetData sheetId="7">
        <row r="19">
          <cell r="B19">
            <v>0</v>
          </cell>
        </row>
      </sheetData>
      <sheetData sheetId="8">
        <row r="5">
          <cell r="B5">
            <v>492708414</v>
          </cell>
        </row>
      </sheetData>
      <sheetData sheetId="9">
        <row r="237">
          <cell r="B237">
            <v>518990164</v>
          </cell>
        </row>
        <row r="241">
          <cell r="B241">
            <v>74242424</v>
          </cell>
        </row>
      </sheetData>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b. tábla (3)"/>
      <sheetName val="2c. tábla (3)"/>
    </sheetNames>
    <sheetDataSet>
      <sheetData sheetId="0">
        <row r="8">
          <cell r="E8">
            <v>180406200</v>
          </cell>
        </row>
        <row r="60">
          <cell r="D60">
            <v>4419000</v>
          </cell>
        </row>
        <row r="61">
          <cell r="D61">
            <v>2993000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 tábla "/>
      <sheetName val="11. sz. tábla"/>
      <sheetName val="12. sz. tábla"/>
      <sheetName val="13.sz. tábla"/>
      <sheetName val="14. sz. stabilitási tv  (3)"/>
      <sheetName val="15. sz. tábla (2)"/>
      <sheetName val="16. sz. tábla (3)"/>
      <sheetName val="17. sz. tábla "/>
      <sheetName val="18.sz.tábla  (4)"/>
      <sheetName val="Munka1"/>
    </sheetNames>
    <sheetDataSet>
      <sheetData sheetId="0">
        <row r="30">
          <cell r="D30">
            <v>126348942</v>
          </cell>
        </row>
      </sheetData>
      <sheetData sheetId="1">
        <row r="7">
          <cell r="D7">
            <v>1306754814.3333333</v>
          </cell>
        </row>
      </sheetData>
      <sheetData sheetId="2">
        <row r="12">
          <cell r="M12">
            <v>125192474</v>
          </cell>
        </row>
      </sheetData>
      <sheetData sheetId="3">
        <row r="5">
          <cell r="E5">
            <v>522094841</v>
          </cell>
        </row>
      </sheetData>
      <sheetData sheetId="4"/>
      <sheetData sheetId="5">
        <row r="12">
          <cell r="D12">
            <v>62689922.796516955</v>
          </cell>
        </row>
      </sheetData>
      <sheetData sheetId="6">
        <row r="9">
          <cell r="D9">
            <v>193972164</v>
          </cell>
        </row>
      </sheetData>
      <sheetData sheetId="7"/>
      <sheetData sheetId="8">
        <row r="7">
          <cell r="D7">
            <v>317071498</v>
          </cell>
        </row>
      </sheetData>
      <sheetData sheetId="9"/>
      <sheetData sheetId="10">
        <row r="131">
          <cell r="D131">
            <v>86073257</v>
          </cell>
        </row>
      </sheetData>
      <sheetData sheetId="11">
        <row r="162">
          <cell r="D162">
            <v>7902103500</v>
          </cell>
        </row>
        <row r="246">
          <cell r="D246">
            <v>74242424</v>
          </cell>
        </row>
        <row r="247">
          <cell r="D247">
            <v>0</v>
          </cell>
        </row>
      </sheetData>
      <sheetData sheetId="12">
        <row r="7">
          <cell r="H7">
            <v>672020854</v>
          </cell>
        </row>
      </sheetData>
      <sheetData sheetId="13">
        <row r="39">
          <cell r="H39">
            <v>37768349</v>
          </cell>
        </row>
        <row r="43">
          <cell r="G43">
            <v>0</v>
          </cell>
        </row>
      </sheetData>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 tábla "/>
      <sheetName val="11. sz. tábla"/>
      <sheetName val="12. sz. tábla"/>
      <sheetName val="13.sz. tábla"/>
      <sheetName val="14. sz. stabilitási tv  (3)"/>
      <sheetName val="15. sz. tábla (2)"/>
      <sheetName val="16. sz. tábla (3)"/>
      <sheetName val="17. sz. tábla "/>
      <sheetName val="18.sz.tábla  (4)"/>
      <sheetName val="Munka1"/>
      <sheetName val="Munka2"/>
    </sheetNames>
    <sheetDataSet>
      <sheetData sheetId="0" refreshError="1"/>
      <sheetData sheetId="1">
        <row r="32">
          <cell r="D32">
            <v>438000000</v>
          </cell>
        </row>
        <row r="51">
          <cell r="D51">
            <v>36196776</v>
          </cell>
        </row>
      </sheetData>
      <sheetData sheetId="2">
        <row r="27">
          <cell r="J27">
            <v>854922</v>
          </cell>
        </row>
      </sheetData>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20. (2)"/>
      <sheetName val="2c. tábla 2020. (2)"/>
      <sheetName val="3.sz. tábla  (2)"/>
      <sheetName val="4.sz.tábla "/>
      <sheetName val="4a. sz. tábla (3)"/>
      <sheetName val="5.tábla (2)"/>
      <sheetName val="5b. sz. tábla  (2)"/>
      <sheetName val="6.sz.tábla  (3)"/>
      <sheetName val="7. sz. tábla 1"/>
      <sheetName val="8. sz. tábla  (3)"/>
      <sheetName val="8a. sz. tábla  (4)"/>
      <sheetName val="9. sz. tábla (2)"/>
      <sheetName val="10 tábla  "/>
      <sheetName val="11. sz. tábla (2)"/>
      <sheetName val="12. sz. tábla"/>
      <sheetName val="13.sz. tábla (2)"/>
      <sheetName val="14. sz. stabilitási tv  (3)"/>
      <sheetName val="15. sz. tábla (2)"/>
      <sheetName val="16. sz. tábla (3)"/>
      <sheetName val="17. sz. tábla "/>
      <sheetName val="18.sz.tábla  (4)"/>
    </sheetNames>
    <sheetDataSet>
      <sheetData sheetId="0">
        <row r="31">
          <cell r="D31">
            <v>33014814</v>
          </cell>
        </row>
        <row r="32">
          <cell r="D32">
            <v>207990457</v>
          </cell>
        </row>
      </sheetData>
      <sheetData sheetId="1">
        <row r="7">
          <cell r="M7">
            <v>1518232816</v>
          </cell>
        </row>
        <row r="22">
          <cell r="M22">
            <v>4751248431</v>
          </cell>
        </row>
        <row r="30">
          <cell r="M30">
            <v>2058240000</v>
          </cell>
        </row>
        <row r="32">
          <cell r="D32">
            <v>450000000</v>
          </cell>
        </row>
        <row r="33">
          <cell r="D33">
            <v>25000000</v>
          </cell>
        </row>
        <row r="36">
          <cell r="D36">
            <v>1100000000</v>
          </cell>
        </row>
        <row r="37">
          <cell r="D37">
            <v>58840000</v>
          </cell>
        </row>
        <row r="39">
          <cell r="D39">
            <v>415000000</v>
          </cell>
        </row>
        <row r="43">
          <cell r="M43">
            <v>849595329</v>
          </cell>
        </row>
        <row r="46">
          <cell r="D46">
            <v>346357351</v>
          </cell>
        </row>
        <row r="50">
          <cell r="D50">
            <v>16000000</v>
          </cell>
        </row>
        <row r="58">
          <cell r="M58">
            <v>270196741</v>
          </cell>
        </row>
        <row r="66">
          <cell r="M66">
            <v>3000000</v>
          </cell>
        </row>
        <row r="68">
          <cell r="D68">
            <v>3000000</v>
          </cell>
        </row>
        <row r="70">
          <cell r="M70">
            <v>227000542</v>
          </cell>
        </row>
        <row r="72">
          <cell r="D72">
            <v>227000542</v>
          </cell>
        </row>
        <row r="76">
          <cell r="M76">
            <v>2874497034</v>
          </cell>
        </row>
        <row r="79">
          <cell r="M79">
            <v>438387185</v>
          </cell>
        </row>
      </sheetData>
      <sheetData sheetId="2"/>
      <sheetData sheetId="3"/>
      <sheetData sheetId="4"/>
      <sheetData sheetId="5"/>
      <sheetData sheetId="6"/>
      <sheetData sheetId="7"/>
      <sheetData sheetId="8"/>
      <sheetData sheetId="9"/>
      <sheetData sheetId="10"/>
      <sheetData sheetId="11">
        <row r="246">
          <cell r="D246">
            <v>74242424</v>
          </cell>
        </row>
        <row r="248">
          <cell r="D248">
            <v>53389205</v>
          </cell>
        </row>
      </sheetData>
      <sheetData sheetId="12">
        <row r="7">
          <cell r="H7">
            <v>664026977</v>
          </cell>
        </row>
        <row r="8">
          <cell r="H8">
            <v>122015138</v>
          </cell>
        </row>
        <row r="9">
          <cell r="H9">
            <v>1338249253</v>
          </cell>
        </row>
        <row r="10">
          <cell r="H10">
            <v>27600000</v>
          </cell>
        </row>
        <row r="11">
          <cell r="H11">
            <v>1355809612</v>
          </cell>
        </row>
        <row r="30">
          <cell r="H30">
            <v>8739294986</v>
          </cell>
        </row>
        <row r="31">
          <cell r="H31">
            <v>30976000</v>
          </cell>
        </row>
        <row r="32">
          <cell r="H32">
            <v>107408627</v>
          </cell>
        </row>
        <row r="33">
          <cell r="H33">
            <v>236380585</v>
          </cell>
        </row>
      </sheetData>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K54"/>
  <sheetViews>
    <sheetView tabSelected="1" view="pageLayout" topLeftCell="A3" zoomScaleNormal="75" zoomScaleSheetLayoutView="89" workbookViewId="0">
      <selection activeCell="B6" sqref="B6"/>
    </sheetView>
  </sheetViews>
  <sheetFormatPr defaultColWidth="9.140625" defaultRowHeight="15" x14ac:dyDescent="0.2"/>
  <cols>
    <col min="1" max="1" width="40.28515625" style="17" customWidth="1"/>
    <col min="2" max="2" width="18.85546875" style="233" customWidth="1"/>
    <col min="3" max="4" width="18.7109375" style="233" customWidth="1"/>
    <col min="5" max="5" width="18.140625" style="233" customWidth="1"/>
    <col min="6" max="6" width="9.140625" style="10"/>
    <col min="7" max="7" width="20" style="10" customWidth="1"/>
    <col min="8" max="8" width="10.140625" style="10" bestFit="1" customWidth="1"/>
    <col min="9" max="16384" width="9.140625" style="10"/>
  </cols>
  <sheetData>
    <row r="1" spans="1:5" ht="15" hidden="1" customHeight="1" x14ac:dyDescent="0.2">
      <c r="A1" s="1903" t="s">
        <v>722</v>
      </c>
      <c r="B1" s="1903"/>
      <c r="C1" s="1903"/>
      <c r="D1" s="1903"/>
      <c r="E1" s="1903"/>
    </row>
    <row r="2" spans="1:5" ht="15.75" hidden="1" customHeight="1" x14ac:dyDescent="0.2">
      <c r="A2" s="1903"/>
      <c r="B2" s="1903"/>
      <c r="C2" s="1903"/>
      <c r="D2" s="1903"/>
      <c r="E2" s="1903"/>
    </row>
    <row r="3" spans="1:5" ht="31.7" customHeight="1" x14ac:dyDescent="0.2">
      <c r="A3" s="1903"/>
      <c r="B3" s="1903"/>
      <c r="C3" s="1903"/>
      <c r="D3" s="1903"/>
      <c r="E3" s="1903"/>
    </row>
    <row r="4" spans="1:5" ht="16.5" customHeight="1" thickBot="1" x14ac:dyDescent="0.3">
      <c r="A4" s="1680"/>
      <c r="B4" s="1680"/>
      <c r="C4" s="1680"/>
      <c r="D4" s="1680"/>
      <c r="E4" s="1680"/>
    </row>
    <row r="5" spans="1:5" s="11" customFormat="1" ht="56.25" customHeight="1" thickBot="1" x14ac:dyDescent="0.25">
      <c r="A5" s="1203" t="s">
        <v>302</v>
      </c>
      <c r="B5" s="1679" t="s">
        <v>660</v>
      </c>
      <c r="C5" s="390" t="s">
        <v>1021</v>
      </c>
      <c r="D5" s="390" t="s">
        <v>1111</v>
      </c>
      <c r="E5" s="391" t="s">
        <v>987</v>
      </c>
    </row>
    <row r="6" spans="1:5" ht="30" x14ac:dyDescent="0.2">
      <c r="A6" s="1204" t="s">
        <v>374</v>
      </c>
      <c r="B6" s="1214">
        <f>'2.sz.tábla   (2)'!N7</f>
        <v>1518232816</v>
      </c>
      <c r="C6" s="486">
        <f>'2.sz.tábla   (2)'!O7</f>
        <v>1618441584</v>
      </c>
      <c r="D6" s="486">
        <f>'2.sz.tábla   (2)'!P7</f>
        <v>1644002138</v>
      </c>
      <c r="E6" s="323">
        <f>D6-C6</f>
        <v>25560554</v>
      </c>
    </row>
    <row r="7" spans="1:5" ht="30" x14ac:dyDescent="0.2">
      <c r="A7" s="1205" t="s">
        <v>375</v>
      </c>
      <c r="B7" s="1215">
        <f>'2.sz.tábla   (2)'!N22</f>
        <v>4751248431</v>
      </c>
      <c r="C7" s="139">
        <f>'2.sz.tábla   (2)'!O22</f>
        <v>6804835830</v>
      </c>
      <c r="D7" s="139">
        <f>'2.sz.tábla   (2)'!P22</f>
        <v>6286599318</v>
      </c>
      <c r="E7" s="323">
        <f t="shared" ref="E7:E40" si="0">D7-C7</f>
        <v>-518236512</v>
      </c>
    </row>
    <row r="8" spans="1:5" ht="21.75" customHeight="1" x14ac:dyDescent="0.2">
      <c r="A8" s="1205" t="s">
        <v>376</v>
      </c>
      <c r="B8" s="1215">
        <f>'2.sz.tábla   (2)'!N30</f>
        <v>2058240000</v>
      </c>
      <c r="C8" s="139">
        <f>'2.sz.tábla   (2)'!O30</f>
        <v>1627117610</v>
      </c>
      <c r="D8" s="139">
        <f>'2.sz.tábla   (2)'!P30</f>
        <v>1627117610</v>
      </c>
      <c r="E8" s="323">
        <f t="shared" si="0"/>
        <v>0</v>
      </c>
    </row>
    <row r="9" spans="1:5" ht="30.2" customHeight="1" x14ac:dyDescent="0.2">
      <c r="A9" s="1205" t="s">
        <v>377</v>
      </c>
      <c r="B9" s="1215">
        <f>'2.sz.tábla   (2)'!N43</f>
        <v>849595329</v>
      </c>
      <c r="C9" s="139">
        <f>'2.sz.tábla   (2)'!O43</f>
        <v>834109167</v>
      </c>
      <c r="D9" s="139">
        <f>'2.sz.tábla   (2)'!P43</f>
        <v>897670682</v>
      </c>
      <c r="E9" s="323">
        <f t="shared" si="0"/>
        <v>63561515</v>
      </c>
    </row>
    <row r="10" spans="1:5" ht="30.75" customHeight="1" x14ac:dyDescent="0.2">
      <c r="A10" s="1205" t="s">
        <v>378</v>
      </c>
      <c r="B10" s="1215">
        <f>'2.sz.tábla   (2)'!N58</f>
        <v>270196741</v>
      </c>
      <c r="C10" s="139">
        <f>'2.sz.tábla   (2)'!O58</f>
        <v>270196741</v>
      </c>
      <c r="D10" s="139">
        <f>'2.sz.tábla   (2)'!P58</f>
        <v>270523434</v>
      </c>
      <c r="E10" s="323">
        <f t="shared" si="0"/>
        <v>326693</v>
      </c>
    </row>
    <row r="11" spans="1:5" ht="27" customHeight="1" x14ac:dyDescent="0.2">
      <c r="A11" s="1206" t="s">
        <v>379</v>
      </c>
      <c r="B11" s="1215">
        <f>'2.sz.tábla   (2)'!N66</f>
        <v>3000000</v>
      </c>
      <c r="C11" s="139">
        <f>'2.sz.tábla   (2)'!O66</f>
        <v>3720754</v>
      </c>
      <c r="D11" s="139">
        <f>'2.sz.tábla   (2)'!P66</f>
        <v>19720754</v>
      </c>
      <c r="E11" s="323">
        <f>D11-C11</f>
        <v>16000000</v>
      </c>
    </row>
    <row r="12" spans="1:5" ht="35.450000000000003" customHeight="1" x14ac:dyDescent="0.2">
      <c r="A12" s="1206" t="s">
        <v>380</v>
      </c>
      <c r="B12" s="1215">
        <f>'2.sz.tábla   (2)'!N70</f>
        <v>227000542</v>
      </c>
      <c r="C12" s="139">
        <f>'2.sz.tábla   (2)'!O70</f>
        <v>227000542</v>
      </c>
      <c r="D12" s="139">
        <f>'2.sz.tábla   (2)'!P70</f>
        <v>223000542</v>
      </c>
      <c r="E12" s="323">
        <f t="shared" si="0"/>
        <v>-4000000</v>
      </c>
    </row>
    <row r="13" spans="1:5" s="13" customFormat="1" ht="24" customHeight="1" x14ac:dyDescent="0.25">
      <c r="A13" s="1207" t="s">
        <v>381</v>
      </c>
      <c r="B13" s="1216">
        <f>SUM(B6:B12)</f>
        <v>9677513859</v>
      </c>
      <c r="C13" s="140">
        <f>SUM(C6:C12)</f>
        <v>11385422228</v>
      </c>
      <c r="D13" s="140">
        <f>SUM(D6:D12)</f>
        <v>10968634478</v>
      </c>
      <c r="E13" s="700">
        <f t="shared" si="0"/>
        <v>-416787750</v>
      </c>
    </row>
    <row r="14" spans="1:5" s="13" customFormat="1" ht="24" customHeight="1" x14ac:dyDescent="0.25">
      <c r="A14" s="1208" t="s">
        <v>382</v>
      </c>
      <c r="B14" s="1217"/>
      <c r="C14" s="577"/>
      <c r="D14" s="577"/>
      <c r="E14" s="323">
        <f t="shared" si="0"/>
        <v>0</v>
      </c>
    </row>
    <row r="15" spans="1:5" ht="48.75" customHeight="1" x14ac:dyDescent="0.2">
      <c r="A15" s="1205" t="s">
        <v>314</v>
      </c>
      <c r="B15" s="1215">
        <f>'2.sz.tábla   (2)'!N76</f>
        <v>2874497034</v>
      </c>
      <c r="C15" s="139">
        <f>'2.sz.tábla   (2)'!O76</f>
        <v>3119095564</v>
      </c>
      <c r="D15" s="139">
        <f>'2.sz.tábla   (2)'!P76</f>
        <v>3119095564</v>
      </c>
      <c r="E15" s="323">
        <f t="shared" si="0"/>
        <v>0</v>
      </c>
    </row>
    <row r="16" spans="1:5" ht="57.75" customHeight="1" x14ac:dyDescent="0.2">
      <c r="A16" s="1205" t="s">
        <v>383</v>
      </c>
      <c r="B16" s="1215">
        <f>'2.sz.tábla   (2)'!N79</f>
        <v>438387185</v>
      </c>
      <c r="C16" s="139">
        <f>'2.sz.tábla   (2)'!O79</f>
        <v>2302112000</v>
      </c>
      <c r="D16" s="139">
        <f>'2.sz.tábla   (2)'!P79</f>
        <v>2302112000</v>
      </c>
      <c r="E16" s="323">
        <f t="shared" si="0"/>
        <v>0</v>
      </c>
    </row>
    <row r="17" spans="1:11" s="13" customFormat="1" ht="33" customHeight="1" x14ac:dyDescent="0.25">
      <c r="A17" s="1207" t="s">
        <v>384</v>
      </c>
      <c r="B17" s="1218">
        <f>SUM(B15:B16)</f>
        <v>3312884219</v>
      </c>
      <c r="C17" s="141">
        <f>SUM(C15:C16)</f>
        <v>5421207564</v>
      </c>
      <c r="D17" s="141">
        <f>SUM(D15:D16)</f>
        <v>5421207564</v>
      </c>
      <c r="E17" s="700">
        <f t="shared" si="0"/>
        <v>0</v>
      </c>
    </row>
    <row r="18" spans="1:11" s="13" customFormat="1" ht="18" customHeight="1" x14ac:dyDescent="0.25">
      <c r="A18" s="1209" t="s">
        <v>385</v>
      </c>
      <c r="B18" s="1219">
        <f>B13+B17</f>
        <v>12990398078</v>
      </c>
      <c r="C18" s="142">
        <f>C13+C17</f>
        <v>16806629792</v>
      </c>
      <c r="D18" s="142">
        <f>D13+D17</f>
        <v>16389842042</v>
      </c>
      <c r="E18" s="700">
        <f t="shared" si="0"/>
        <v>-416787750</v>
      </c>
      <c r="G18" s="394">
        <f>C18-B18</f>
        <v>3816231714</v>
      </c>
      <c r="H18" s="394"/>
    </row>
    <row r="19" spans="1:11" s="13" customFormat="1" ht="14.25" customHeight="1" x14ac:dyDescent="0.25">
      <c r="A19" s="1209"/>
      <c r="B19" s="1215"/>
      <c r="C19" s="139"/>
      <c r="D19" s="1459"/>
      <c r="E19" s="700"/>
      <c r="F19" s="12"/>
      <c r="G19" s="12"/>
      <c r="H19" s="39"/>
      <c r="I19" s="12"/>
      <c r="J19" s="12"/>
      <c r="K19" s="12"/>
    </row>
    <row r="20" spans="1:11" s="15" customFormat="1" ht="20.100000000000001" customHeight="1" x14ac:dyDescent="0.25">
      <c r="A20" s="1207" t="s">
        <v>386</v>
      </c>
      <c r="B20" s="1216">
        <f>SUM(B21:B23)</f>
        <v>3507700980</v>
      </c>
      <c r="C20" s="140">
        <f>SUM(C21:C23)</f>
        <v>3467999127</v>
      </c>
      <c r="D20" s="140">
        <f>SUM(D21:D23)</f>
        <v>3402347445</v>
      </c>
      <c r="E20" s="700">
        <f t="shared" si="0"/>
        <v>-65651682</v>
      </c>
      <c r="F20" s="14"/>
      <c r="G20" s="14"/>
      <c r="H20" s="303"/>
      <c r="I20" s="14"/>
      <c r="J20" s="14"/>
      <c r="K20" s="14"/>
    </row>
    <row r="21" spans="1:11" s="15" customFormat="1" ht="20.100000000000001" customHeight="1" x14ac:dyDescent="0.2">
      <c r="A21" s="1205" t="s">
        <v>387</v>
      </c>
      <c r="B21" s="1215">
        <f>'5.tábla (2)'!B146</f>
        <v>2646223479</v>
      </c>
      <c r="C21" s="139">
        <f>'5.tábla (2)'!C146</f>
        <v>2580200511</v>
      </c>
      <c r="D21" s="139">
        <f>'5.tábla (2)'!D146</f>
        <v>2517832654</v>
      </c>
      <c r="E21" s="323">
        <f t="shared" si="0"/>
        <v>-62367857</v>
      </c>
      <c r="F21" s="14"/>
      <c r="G21" s="303"/>
      <c r="H21" s="14"/>
      <c r="I21" s="14"/>
      <c r="J21" s="14"/>
      <c r="K21" s="14"/>
    </row>
    <row r="22" spans="1:11" s="15" customFormat="1" ht="20.100000000000001" customHeight="1" x14ac:dyDescent="0.2">
      <c r="A22" s="1205" t="s">
        <v>388</v>
      </c>
      <c r="B22" s="1215">
        <f>'5.tábla (2)'!B36</f>
        <v>470004034</v>
      </c>
      <c r="C22" s="139">
        <f>'5.tábla (2)'!C36</f>
        <v>476048653</v>
      </c>
      <c r="D22" s="139">
        <f>'5.tábla (2)'!D36</f>
        <v>470439171</v>
      </c>
      <c r="E22" s="323">
        <f t="shared" si="0"/>
        <v>-5609482</v>
      </c>
      <c r="F22" s="14"/>
      <c r="G22" s="303"/>
      <c r="H22" s="14"/>
      <c r="I22" s="14"/>
      <c r="J22" s="14"/>
      <c r="K22" s="14"/>
    </row>
    <row r="23" spans="1:11" s="13" customFormat="1" ht="20.100000000000001" customHeight="1" x14ac:dyDescent="0.2">
      <c r="A23" s="1205" t="s">
        <v>389</v>
      </c>
      <c r="B23" s="1215">
        <f>'4.sz.tábla '!AS9-'4.sz.tábla '!W9</f>
        <v>391473467</v>
      </c>
      <c r="C23" s="139">
        <f>'4.sz.tábla '!AT9-'4.sz.tábla '!X9</f>
        <v>411749963</v>
      </c>
      <c r="D23" s="139">
        <f>'4.sz.tábla '!AU9-'4.sz.tábla '!Y9</f>
        <v>414075620</v>
      </c>
      <c r="E23" s="323">
        <f t="shared" si="0"/>
        <v>2325657</v>
      </c>
      <c r="F23" s="16"/>
      <c r="G23" s="39"/>
      <c r="H23" s="12"/>
      <c r="I23" s="12"/>
      <c r="J23" s="12"/>
      <c r="K23" s="12"/>
    </row>
    <row r="24" spans="1:11" ht="13.7" customHeight="1" x14ac:dyDescent="0.2">
      <c r="A24" s="1205"/>
      <c r="B24" s="1215"/>
      <c r="C24" s="139"/>
      <c r="D24" s="1459"/>
      <c r="E24" s="323">
        <f t="shared" si="0"/>
        <v>0</v>
      </c>
      <c r="G24" s="693"/>
    </row>
    <row r="25" spans="1:11" s="13" customFormat="1" ht="20.100000000000001" customHeight="1" x14ac:dyDescent="0.25">
      <c r="A25" s="1207" t="s">
        <v>390</v>
      </c>
      <c r="B25" s="1218">
        <f>SUM(B26:B28)</f>
        <v>9114060198</v>
      </c>
      <c r="C25" s="141">
        <f>SUM(C26:C28)</f>
        <v>12038286307</v>
      </c>
      <c r="D25" s="141">
        <f>SUM(D26:D28)</f>
        <v>11724754523</v>
      </c>
      <c r="E25" s="700">
        <f t="shared" si="0"/>
        <v>-313531784</v>
      </c>
    </row>
    <row r="26" spans="1:11" ht="20.100000000000001" customHeight="1" x14ac:dyDescent="0.2">
      <c r="A26" s="1205" t="s">
        <v>391</v>
      </c>
      <c r="B26" s="1215">
        <f>'7. sz. tábla 1'!B230</f>
        <v>8975675571</v>
      </c>
      <c r="C26" s="139">
        <f>'7. sz. tábla 1'!C230</f>
        <v>11887243038</v>
      </c>
      <c r="D26" s="139">
        <f>'7. sz. tábla 1'!D230</f>
        <v>11570288004</v>
      </c>
      <c r="E26" s="323">
        <f t="shared" si="0"/>
        <v>-316955034</v>
      </c>
    </row>
    <row r="27" spans="1:11" s="13" customFormat="1" ht="20.100000000000001" customHeight="1" x14ac:dyDescent="0.2">
      <c r="A27" s="1205" t="s">
        <v>392</v>
      </c>
      <c r="B27" s="1215">
        <f>'4.sz.tábla '!W11</f>
        <v>30976000</v>
      </c>
      <c r="C27" s="139">
        <f>'4.sz.tábla '!X11</f>
        <v>42617642</v>
      </c>
      <c r="D27" s="139">
        <f>'4.sz.tábla '!Y11</f>
        <v>42465272</v>
      </c>
      <c r="E27" s="323">
        <f t="shared" si="0"/>
        <v>-152370</v>
      </c>
    </row>
    <row r="28" spans="1:11" ht="20.100000000000001" customHeight="1" x14ac:dyDescent="0.2">
      <c r="A28" s="1205" t="s">
        <v>393</v>
      </c>
      <c r="B28" s="1215">
        <f>'7. sz. tábla 1'!B242</f>
        <v>107408627</v>
      </c>
      <c r="C28" s="139">
        <f>'7. sz. tábla 1'!C242</f>
        <v>108425627</v>
      </c>
      <c r="D28" s="139">
        <f>'7. sz. tábla 1'!D242</f>
        <v>112001247</v>
      </c>
      <c r="E28" s="323">
        <f t="shared" si="0"/>
        <v>3575620</v>
      </c>
    </row>
    <row r="29" spans="1:11" ht="12.75" customHeight="1" x14ac:dyDescent="0.25">
      <c r="A29" s="1207"/>
      <c r="B29" s="1220"/>
      <c r="C29" s="485"/>
      <c r="D29" s="1460"/>
      <c r="E29" s="323">
        <f t="shared" si="0"/>
        <v>0</v>
      </c>
    </row>
    <row r="30" spans="1:11" s="13" customFormat="1" ht="20.100000000000001" customHeight="1" x14ac:dyDescent="0.25">
      <c r="A30" s="1207" t="s">
        <v>394</v>
      </c>
      <c r="B30" s="1218">
        <f>SUM(B31:B32)</f>
        <v>241005271</v>
      </c>
      <c r="C30" s="141">
        <f>SUM(C31:C32)</f>
        <v>372712729</v>
      </c>
      <c r="D30" s="141">
        <f>SUM(D31:D32)</f>
        <v>335108445</v>
      </c>
      <c r="E30" s="700">
        <f t="shared" si="0"/>
        <v>-37604284</v>
      </c>
    </row>
    <row r="31" spans="1:11" s="13" customFormat="1" ht="20.100000000000001" customHeight="1" x14ac:dyDescent="0.2">
      <c r="A31" s="1205" t="s">
        <v>395</v>
      </c>
      <c r="B31" s="1215">
        <v>33014814</v>
      </c>
      <c r="C31" s="139">
        <v>156871196</v>
      </c>
      <c r="D31" s="139">
        <v>124613417</v>
      </c>
      <c r="E31" s="323">
        <f t="shared" si="0"/>
        <v>-32257779</v>
      </c>
    </row>
    <row r="32" spans="1:11" s="13" customFormat="1" ht="20.100000000000001" customHeight="1" x14ac:dyDescent="0.2">
      <c r="A32" s="1205" t="s">
        <v>396</v>
      </c>
      <c r="B32" s="1215">
        <f>B40</f>
        <v>207990457</v>
      </c>
      <c r="C32" s="139">
        <f>C40</f>
        <v>215841533</v>
      </c>
      <c r="D32" s="139">
        <f>D40</f>
        <v>210495028</v>
      </c>
      <c r="E32" s="323">
        <f t="shared" si="0"/>
        <v>-5346505</v>
      </c>
    </row>
    <row r="33" spans="1:8" s="13" customFormat="1" ht="23.25" customHeight="1" x14ac:dyDescent="0.25">
      <c r="A33" s="1207" t="s">
        <v>397</v>
      </c>
      <c r="B33" s="1218">
        <f>SUM(B30,B25,B20)</f>
        <v>12862766449</v>
      </c>
      <c r="C33" s="141">
        <f>SUM(C30,C25,C20)</f>
        <v>15878998163</v>
      </c>
      <c r="D33" s="141">
        <f>SUM(D30,D25,D20)</f>
        <v>15462210413</v>
      </c>
      <c r="E33" s="700">
        <f t="shared" si="0"/>
        <v>-416787750</v>
      </c>
    </row>
    <row r="34" spans="1:8" ht="20.100000000000001" customHeight="1" x14ac:dyDescent="0.2">
      <c r="A34" s="1205" t="s">
        <v>398</v>
      </c>
      <c r="B34" s="1215">
        <f>'7. sz. tábla 1'!B233</f>
        <v>74242424</v>
      </c>
      <c r="C34" s="139">
        <f>'7. sz. tábla 1'!C233</f>
        <v>74242424</v>
      </c>
      <c r="D34" s="139">
        <f>'7. sz. tábla 1'!D233</f>
        <v>74242424</v>
      </c>
      <c r="E34" s="323">
        <f t="shared" si="0"/>
        <v>0</v>
      </c>
    </row>
    <row r="35" spans="1:8" ht="20.100000000000001" customHeight="1" x14ac:dyDescent="0.2">
      <c r="A35" s="1205" t="s">
        <v>996</v>
      </c>
      <c r="B35" s="1215"/>
      <c r="C35" s="139">
        <f>'7. sz. tábla 1'!C234</f>
        <v>800000000</v>
      </c>
      <c r="D35" s="139">
        <f>'7. sz. tábla 1'!D234</f>
        <v>800000000</v>
      </c>
      <c r="E35" s="323">
        <f t="shared" si="0"/>
        <v>0</v>
      </c>
    </row>
    <row r="36" spans="1:8" ht="28.5" customHeight="1" x14ac:dyDescent="0.2">
      <c r="A36" s="1205" t="s">
        <v>458</v>
      </c>
      <c r="B36" s="1215">
        <f>'7. sz. tábla 1'!B236</f>
        <v>53389205</v>
      </c>
      <c r="C36" s="139">
        <f>'7. sz. tábla 1'!C236</f>
        <v>53389205</v>
      </c>
      <c r="D36" s="139">
        <f>'7. sz. tábla 1'!D236</f>
        <v>53389205</v>
      </c>
      <c r="E36" s="323">
        <f t="shared" si="0"/>
        <v>0</v>
      </c>
    </row>
    <row r="37" spans="1:8" ht="22.7" customHeight="1" x14ac:dyDescent="0.2">
      <c r="A37" s="1205" t="s">
        <v>338</v>
      </c>
      <c r="B37" s="1215">
        <f>'7. sz. tábla 1'!B235</f>
        <v>0</v>
      </c>
      <c r="C37" s="139">
        <f>'7. sz. tábla 1'!C235</f>
        <v>0</v>
      </c>
      <c r="D37" s="139">
        <f>'7. sz. tábla 1'!D235</f>
        <v>0</v>
      </c>
      <c r="E37" s="323">
        <f t="shared" si="0"/>
        <v>0</v>
      </c>
    </row>
    <row r="38" spans="1:8" s="13" customFormat="1" ht="21.75" customHeight="1" x14ac:dyDescent="0.25">
      <c r="A38" s="1207" t="s">
        <v>399</v>
      </c>
      <c r="B38" s="1218">
        <f>SUM(B34:B37)</f>
        <v>127631629</v>
      </c>
      <c r="C38" s="141">
        <f>SUM(C34:C37)</f>
        <v>927631629</v>
      </c>
      <c r="D38" s="141">
        <f>SUM(D34:D37)</f>
        <v>927631629</v>
      </c>
      <c r="E38" s="700">
        <f t="shared" si="0"/>
        <v>0</v>
      </c>
    </row>
    <row r="39" spans="1:8" s="13" customFormat="1" ht="20.100000000000001" customHeight="1" x14ac:dyDescent="0.25">
      <c r="A39" s="1209" t="s">
        <v>400</v>
      </c>
      <c r="B39" s="1219">
        <f>SUM(B33,B38)</f>
        <v>12990398078</v>
      </c>
      <c r="C39" s="142">
        <f>SUM(C33,C38)</f>
        <v>16806629792</v>
      </c>
      <c r="D39" s="142">
        <f>SUM(D33,D38)</f>
        <v>16389842042</v>
      </c>
      <c r="E39" s="700">
        <f>D39-C39</f>
        <v>-416787750</v>
      </c>
      <c r="G39" s="394">
        <f>C39-B39</f>
        <v>3816231714</v>
      </c>
      <c r="H39" s="394"/>
    </row>
    <row r="40" spans="1:8" s="15" customFormat="1" ht="20.100000000000001" customHeight="1" x14ac:dyDescent="0.25">
      <c r="A40" s="1210" t="s">
        <v>401</v>
      </c>
      <c r="B40" s="1221">
        <f>SUM(B41:B54)</f>
        <v>207990457</v>
      </c>
      <c r="C40" s="143">
        <f>SUM(C41:C54)</f>
        <v>215841533</v>
      </c>
      <c r="D40" s="143">
        <f>SUM(D41:D54)</f>
        <v>210495028</v>
      </c>
      <c r="E40" s="700">
        <f t="shared" si="0"/>
        <v>-5346505</v>
      </c>
      <c r="G40" s="1402">
        <f>E39-E18</f>
        <v>0</v>
      </c>
    </row>
    <row r="41" spans="1:8" s="15" customFormat="1" ht="17.45" customHeight="1" x14ac:dyDescent="0.2">
      <c r="A41" s="1211" t="s">
        <v>402</v>
      </c>
      <c r="B41" s="1401">
        <v>560000</v>
      </c>
      <c r="C41" s="139">
        <v>560000</v>
      </c>
      <c r="D41" s="139">
        <v>560000</v>
      </c>
      <c r="E41" s="323">
        <f>D41-C41</f>
        <v>0</v>
      </c>
      <c r="G41" s="1402"/>
    </row>
    <row r="42" spans="1:8" s="15" customFormat="1" ht="15" customHeight="1" x14ac:dyDescent="0.2">
      <c r="A42" s="1211" t="s">
        <v>403</v>
      </c>
      <c r="B42" s="1401">
        <v>0</v>
      </c>
      <c r="C42" s="139">
        <v>0</v>
      </c>
      <c r="D42" s="139">
        <v>0</v>
      </c>
      <c r="E42" s="323">
        <f t="shared" ref="E42:E54" si="1">D42-C42</f>
        <v>0</v>
      </c>
      <c r="G42" s="1402"/>
    </row>
    <row r="43" spans="1:8" s="15" customFormat="1" ht="17.45" customHeight="1" x14ac:dyDescent="0.2">
      <c r="A43" s="1211" t="s">
        <v>404</v>
      </c>
      <c r="B43" s="1401">
        <v>5000000</v>
      </c>
      <c r="C43" s="139">
        <v>5000000</v>
      </c>
      <c r="D43" s="139">
        <v>2632514</v>
      </c>
      <c r="E43" s="323">
        <f>D43-C43</f>
        <v>-2367486</v>
      </c>
    </row>
    <row r="44" spans="1:8" x14ac:dyDescent="0.2">
      <c r="A44" s="1211" t="s">
        <v>405</v>
      </c>
      <c r="B44" s="1401">
        <f>25597170-8600000</f>
        <v>16997170</v>
      </c>
      <c r="C44" s="139">
        <f>25597170-8600000</f>
        <v>16997170</v>
      </c>
      <c r="D44" s="139">
        <f>25597170-8600000</f>
        <v>16997170</v>
      </c>
      <c r="E44" s="323">
        <f t="shared" si="1"/>
        <v>0</v>
      </c>
    </row>
    <row r="45" spans="1:8" x14ac:dyDescent="0.2">
      <c r="A45" s="1211" t="s">
        <v>406</v>
      </c>
      <c r="B45" s="1401">
        <v>3000000</v>
      </c>
      <c r="C45" s="139">
        <v>3000000</v>
      </c>
      <c r="D45" s="139">
        <v>1100000</v>
      </c>
      <c r="E45" s="323">
        <f>D45-C45</f>
        <v>-1900000</v>
      </c>
    </row>
    <row r="46" spans="1:8" x14ac:dyDescent="0.2">
      <c r="A46" s="1211" t="s">
        <v>407</v>
      </c>
      <c r="B46" s="1401"/>
      <c r="C46" s="139"/>
      <c r="D46" s="139"/>
      <c r="E46" s="323">
        <f t="shared" si="1"/>
        <v>0</v>
      </c>
    </row>
    <row r="47" spans="1:8" x14ac:dyDescent="0.2">
      <c r="A47" s="1211" t="s">
        <v>517</v>
      </c>
      <c r="B47" s="1401">
        <v>15886278</v>
      </c>
      <c r="C47" s="139">
        <v>15886278</v>
      </c>
      <c r="D47" s="139">
        <v>15886278</v>
      </c>
      <c r="E47" s="323">
        <f t="shared" si="1"/>
        <v>0</v>
      </c>
    </row>
    <row r="48" spans="1:8" ht="28.5" x14ac:dyDescent="0.2">
      <c r="A48" s="1211" t="s">
        <v>616</v>
      </c>
      <c r="B48" s="1401">
        <v>12437009</v>
      </c>
      <c r="C48" s="139">
        <f>12437009+5000000</f>
        <v>17437009</v>
      </c>
      <c r="D48" s="139">
        <v>5000000</v>
      </c>
      <c r="E48" s="323">
        <f t="shared" si="1"/>
        <v>-12437009</v>
      </c>
    </row>
    <row r="49" spans="1:5" ht="28.5" x14ac:dyDescent="0.2">
      <c r="A49" s="1211" t="s">
        <v>598</v>
      </c>
      <c r="B49" s="1401">
        <v>500000</v>
      </c>
      <c r="C49" s="139">
        <v>500000</v>
      </c>
      <c r="D49" s="139">
        <v>500000</v>
      </c>
      <c r="E49" s="323">
        <f t="shared" si="1"/>
        <v>0</v>
      </c>
    </row>
    <row r="50" spans="1:5" ht="19.5" customHeight="1" x14ac:dyDescent="0.2">
      <c r="A50" s="1211" t="s">
        <v>170</v>
      </c>
      <c r="B50" s="1401">
        <v>0</v>
      </c>
      <c r="C50" s="139">
        <f>5063139-2020627</f>
        <v>3042512</v>
      </c>
      <c r="D50" s="139">
        <v>2400502</v>
      </c>
      <c r="E50" s="323">
        <f t="shared" si="1"/>
        <v>-642010</v>
      </c>
    </row>
    <row r="51" spans="1:5" ht="28.5" x14ac:dyDescent="0.2">
      <c r="A51" s="443" t="s">
        <v>518</v>
      </c>
      <c r="B51" s="1401">
        <v>610000</v>
      </c>
      <c r="C51" s="139">
        <f>610000-191436</f>
        <v>418564</v>
      </c>
      <c r="D51" s="139">
        <f>610000-191436</f>
        <v>418564</v>
      </c>
      <c r="E51" s="323">
        <f t="shared" si="1"/>
        <v>0</v>
      </c>
    </row>
    <row r="52" spans="1:5" x14ac:dyDescent="0.2">
      <c r="A52" s="1212" t="s">
        <v>667</v>
      </c>
      <c r="B52" s="1401">
        <v>100000000</v>
      </c>
      <c r="C52" s="139">
        <v>100000000</v>
      </c>
      <c r="D52" s="139">
        <v>100000000</v>
      </c>
      <c r="E52" s="323">
        <f t="shared" si="1"/>
        <v>0</v>
      </c>
    </row>
    <row r="53" spans="1:5" x14ac:dyDescent="0.2">
      <c r="A53" s="1212" t="s">
        <v>668</v>
      </c>
      <c r="B53" s="1401">
        <v>53000000</v>
      </c>
      <c r="C53" s="139">
        <v>53000000</v>
      </c>
      <c r="D53" s="139">
        <v>53000000</v>
      </c>
      <c r="E53" s="323">
        <f t="shared" si="1"/>
        <v>0</v>
      </c>
    </row>
    <row r="54" spans="1:5" ht="26.25" thickBot="1" x14ac:dyDescent="0.25">
      <c r="A54" s="1213" t="s">
        <v>1120</v>
      </c>
      <c r="B54" s="1222"/>
      <c r="C54" s="578"/>
      <c r="D54" s="578">
        <v>12000000</v>
      </c>
      <c r="E54" s="324">
        <f t="shared" si="1"/>
        <v>12000000</v>
      </c>
    </row>
  </sheetData>
  <sheetProtection selectLockedCells="1" selectUnlockedCells="1"/>
  <mergeCells count="1">
    <mergeCell ref="A1:E3"/>
  </mergeCells>
  <printOptions horizontalCentered="1"/>
  <pageMargins left="0.4597222222222222" right="0.57986111111111116" top="1.1201388888888888" bottom="0.98402777777777772" header="0.45" footer="0.51180555555555551"/>
  <pageSetup paperSize="9" scale="50" firstPageNumber="0" orientation="portrait" r:id="rId1"/>
  <headerFooter alignWithMargins="0">
    <oddHeader xml:space="preserve">&amp;C1. melléklet 
  az önkormányzat 2020. évi költségvetéséről szóló 6/2019. (III.06.) önkormányzati rendelethez
a 42/2020. (XII.21.) önkormányzati rendelet módosítással egységes szerkezetbe foglalva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T101"/>
  <sheetViews>
    <sheetView view="pageLayout" topLeftCell="F3" zoomScale="91" zoomScaleNormal="91" zoomScaleSheetLayoutView="89" zoomScalePageLayoutView="91" workbookViewId="0">
      <selection activeCell="I22" sqref="I22"/>
    </sheetView>
  </sheetViews>
  <sheetFormatPr defaultColWidth="9.140625" defaultRowHeight="12.75" x14ac:dyDescent="0.2"/>
  <cols>
    <col min="1" max="1" width="25.7109375" style="16" customWidth="1"/>
    <col min="2" max="4" width="15" style="16" customWidth="1"/>
    <col min="5" max="5" width="16.140625" style="16" customWidth="1"/>
    <col min="6" max="6" width="14.140625" style="16" customWidth="1"/>
    <col min="7" max="9" width="13.28515625" style="16" customWidth="1"/>
    <col min="10" max="10" width="12.85546875" style="16" customWidth="1"/>
    <col min="11" max="12" width="14.140625" style="16" customWidth="1"/>
    <col min="13" max="13" width="12.85546875" style="16" customWidth="1"/>
    <col min="14" max="14" width="14.42578125" style="16" customWidth="1"/>
    <col min="15" max="17" width="15.28515625" style="16" customWidth="1"/>
    <col min="18" max="18" width="16.140625" style="16" customWidth="1"/>
    <col min="19" max="19" width="9.140625" style="18"/>
    <col min="20" max="20" width="9.28515625" style="18" bestFit="1" customWidth="1"/>
    <col min="21" max="21" width="0.28515625" style="18" customWidth="1"/>
    <col min="22" max="16384" width="9.140625" style="18"/>
  </cols>
  <sheetData>
    <row r="1" spans="1:18" hidden="1" x14ac:dyDescent="0.2">
      <c r="A1" s="69"/>
      <c r="B1" s="68"/>
      <c r="C1" s="68"/>
      <c r="D1" s="68"/>
      <c r="E1" s="68"/>
      <c r="F1" s="68"/>
      <c r="G1" s="68"/>
      <c r="H1" s="68"/>
      <c r="I1" s="68"/>
      <c r="J1" s="68"/>
      <c r="K1" s="68"/>
      <c r="L1" s="68"/>
      <c r="M1" s="68"/>
      <c r="N1" s="68"/>
      <c r="O1" s="68"/>
      <c r="P1" s="68"/>
      <c r="Q1" s="68"/>
    </row>
    <row r="2" spans="1:18" hidden="1" x14ac:dyDescent="0.2">
      <c r="A2" s="70"/>
    </row>
    <row r="3" spans="1:18" ht="15.75" x14ac:dyDescent="0.25">
      <c r="A3" s="1911" t="s">
        <v>666</v>
      </c>
      <c r="B3" s="1911"/>
      <c r="C3" s="1911"/>
      <c r="D3" s="1911"/>
      <c r="E3" s="1911"/>
      <c r="F3" s="1911"/>
      <c r="G3" s="1911"/>
      <c r="H3" s="1911"/>
      <c r="I3" s="1911"/>
      <c r="J3" s="1911"/>
      <c r="K3" s="1911"/>
      <c r="L3" s="1911"/>
      <c r="M3" s="1911"/>
      <c r="N3" s="1911"/>
      <c r="O3" s="1911"/>
      <c r="P3" s="1911"/>
      <c r="Q3" s="1911"/>
    </row>
    <row r="4" spans="1:18" ht="13.5" thickBot="1" x14ac:dyDescent="0.25">
      <c r="A4" s="404"/>
      <c r="B4" s="404"/>
      <c r="C4" s="404"/>
      <c r="D4" s="404"/>
      <c r="E4" s="404"/>
      <c r="F4" s="404"/>
      <c r="G4" s="404"/>
      <c r="H4" s="404"/>
      <c r="I4" s="404"/>
      <c r="J4" s="404"/>
      <c r="K4" s="404"/>
      <c r="L4" s="404"/>
      <c r="M4" s="404"/>
      <c r="N4" s="404"/>
      <c r="O4" s="404"/>
      <c r="P4" s="404"/>
      <c r="Q4" s="404"/>
    </row>
    <row r="5" spans="1:18" s="19" customFormat="1" ht="27.75" customHeight="1" thickBot="1" x14ac:dyDescent="0.25">
      <c r="A5" s="174" t="s">
        <v>302</v>
      </c>
      <c r="B5" s="1912" t="s">
        <v>408</v>
      </c>
      <c r="C5" s="1913"/>
      <c r="D5" s="1913"/>
      <c r="E5" s="1914"/>
      <c r="F5" s="1913" t="s">
        <v>200</v>
      </c>
      <c r="G5" s="1913"/>
      <c r="H5" s="1913"/>
      <c r="I5" s="1913"/>
      <c r="J5" s="1915" t="s">
        <v>409</v>
      </c>
      <c r="K5" s="1915"/>
      <c r="L5" s="1915"/>
      <c r="M5" s="1915"/>
      <c r="N5" s="1915" t="s">
        <v>410</v>
      </c>
      <c r="O5" s="1915"/>
      <c r="P5" s="1915"/>
      <c r="Q5" s="1915"/>
      <c r="R5" s="34"/>
    </row>
    <row r="6" spans="1:18" s="20" customFormat="1" ht="53.45" customHeight="1" thickBot="1" x14ac:dyDescent="0.25">
      <c r="A6" s="174"/>
      <c r="B6" s="556" t="s">
        <v>660</v>
      </c>
      <c r="C6" s="390" t="s">
        <v>1021</v>
      </c>
      <c r="D6" s="390" t="s">
        <v>1111</v>
      </c>
      <c r="E6" s="391" t="s">
        <v>987</v>
      </c>
      <c r="F6" s="556" t="s">
        <v>660</v>
      </c>
      <c r="G6" s="390" t="s">
        <v>1021</v>
      </c>
      <c r="H6" s="390" t="s">
        <v>1111</v>
      </c>
      <c r="I6" s="391" t="s">
        <v>987</v>
      </c>
      <c r="J6" s="556" t="s">
        <v>660</v>
      </c>
      <c r="K6" s="390" t="s">
        <v>1021</v>
      </c>
      <c r="L6" s="390" t="s">
        <v>1111</v>
      </c>
      <c r="M6" s="391" t="s">
        <v>987</v>
      </c>
      <c r="N6" s="556" t="s">
        <v>660</v>
      </c>
      <c r="O6" s="390" t="s">
        <v>1021</v>
      </c>
      <c r="P6" s="390" t="s">
        <v>1111</v>
      </c>
      <c r="Q6" s="391" t="s">
        <v>987</v>
      </c>
      <c r="R6" s="14"/>
    </row>
    <row r="7" spans="1:18" s="20" customFormat="1" ht="38.25" x14ac:dyDescent="0.2">
      <c r="A7" s="609" t="s">
        <v>374</v>
      </c>
      <c r="B7" s="211">
        <f t="shared" ref="B7" si="0">B8+B16+B17+B18+B19+B20</f>
        <v>1348157274</v>
      </c>
      <c r="C7" s="186">
        <f>C8+C16+C17+C18+C19+C20</f>
        <v>1425878267</v>
      </c>
      <c r="D7" s="186">
        <f>D8+D16+D17+D18+D19+D20</f>
        <v>1450338821</v>
      </c>
      <c r="E7" s="348">
        <f>E8+E16+E17+E18+E19+E20</f>
        <v>24460554</v>
      </c>
      <c r="F7" s="211">
        <f>F8+F16+F17+F18+F19+F20</f>
        <v>30078809</v>
      </c>
      <c r="G7" s="186">
        <f t="shared" ref="G7" si="1">G8+G16+G17+G18+G19+G20</f>
        <v>23886635</v>
      </c>
      <c r="H7" s="186">
        <f t="shared" ref="H7" si="2">H8+H16+H17+H18+H19+H20</f>
        <v>23886635</v>
      </c>
      <c r="I7" s="348">
        <f t="shared" ref="I7:Q7" si="3">I8+I16+I17+I18+I19+I20</f>
        <v>0</v>
      </c>
      <c r="J7" s="708">
        <f t="shared" ref="J7:L7" si="4">J8+J16+J17+J18+J19+J20</f>
        <v>139996733</v>
      </c>
      <c r="K7" s="186">
        <f t="shared" ref="K7" si="5">K8+K16+K17+K18+K19+K20</f>
        <v>168676682</v>
      </c>
      <c r="L7" s="186">
        <f t="shared" si="4"/>
        <v>169776682</v>
      </c>
      <c r="M7" s="186">
        <f t="shared" si="3"/>
        <v>1100000</v>
      </c>
      <c r="N7" s="406">
        <f t="shared" si="3"/>
        <v>1518232816</v>
      </c>
      <c r="O7" s="186">
        <f t="shared" ref="O7" si="6">O8+O16+O17+O18+O19+O20</f>
        <v>1618441584</v>
      </c>
      <c r="P7" s="186">
        <f t="shared" si="3"/>
        <v>1644002138</v>
      </c>
      <c r="Q7" s="348">
        <f t="shared" si="3"/>
        <v>25560554</v>
      </c>
      <c r="R7" s="14"/>
    </row>
    <row r="8" spans="1:18" s="21" customFormat="1" ht="25.5" x14ac:dyDescent="0.2">
      <c r="A8" s="611" t="s">
        <v>411</v>
      </c>
      <c r="B8" s="490">
        <f>SUM(B9:B15)</f>
        <v>1014730134</v>
      </c>
      <c r="C8" s="155">
        <f>SUM(C9:C15)</f>
        <v>1131376499</v>
      </c>
      <c r="D8" s="155">
        <f>SUM(D9:D15)</f>
        <v>1141487230</v>
      </c>
      <c r="E8" s="341">
        <f>SUM(E9:E15)</f>
        <v>10110731</v>
      </c>
      <c r="F8" s="490"/>
      <c r="G8" s="155">
        <f>SUM(G9:G15)</f>
        <v>0</v>
      </c>
      <c r="H8" s="155">
        <f>SUM(H9:H15)</f>
        <v>0</v>
      </c>
      <c r="I8" s="341">
        <f>SUM(I9:I15)</f>
        <v>0</v>
      </c>
      <c r="J8" s="709">
        <f t="shared" ref="J8:L8" si="7">SUM(J9:J15)</f>
        <v>0</v>
      </c>
      <c r="K8" s="155">
        <f t="shared" ref="K8" si="8">SUM(K9:K15)</f>
        <v>0</v>
      </c>
      <c r="L8" s="155">
        <f t="shared" si="7"/>
        <v>0</v>
      </c>
      <c r="M8" s="155">
        <f t="shared" ref="M8:Q8" si="9">SUM(M9:M15)</f>
        <v>0</v>
      </c>
      <c r="N8" s="407">
        <f>SUM(N9:N15)</f>
        <v>1014730134</v>
      </c>
      <c r="O8" s="155">
        <f t="shared" ref="O8" si="10">SUM(O9:O15)</f>
        <v>1131376499</v>
      </c>
      <c r="P8" s="155">
        <f t="shared" si="9"/>
        <v>1141487230</v>
      </c>
      <c r="Q8" s="341">
        <f t="shared" si="9"/>
        <v>10110731</v>
      </c>
      <c r="R8" s="301"/>
    </row>
    <row r="9" spans="1:18" s="21" customFormat="1" ht="38.25" x14ac:dyDescent="0.2">
      <c r="A9" s="701" t="s">
        <v>412</v>
      </c>
      <c r="B9" s="411">
        <f>'2b. tábla 2020. (2)'!E5</f>
        <v>508615472</v>
      </c>
      <c r="C9" s="411">
        <f>'2b. tábla 2020. (2)'!I5</f>
        <v>330712990</v>
      </c>
      <c r="D9" s="411">
        <f>'2b. tábla 2020. (2)'!K5</f>
        <v>330712990</v>
      </c>
      <c r="E9" s="341">
        <f>D9-C9</f>
        <v>0</v>
      </c>
      <c r="F9" s="491"/>
      <c r="G9" s="248"/>
      <c r="H9" s="248"/>
      <c r="I9" s="339"/>
      <c r="J9" s="710"/>
      <c r="K9" s="248"/>
      <c r="L9" s="248"/>
      <c r="M9" s="248"/>
      <c r="N9" s="349">
        <f>SUM(B9+F9+J9)</f>
        <v>508615472</v>
      </c>
      <c r="O9" s="79">
        <f>SUM(C9+G9+K9)</f>
        <v>330712990</v>
      </c>
      <c r="P9" s="79">
        <f>SUM(D9+H9+L9)</f>
        <v>330712990</v>
      </c>
      <c r="Q9" s="339">
        <f>SUM(E9+I9+M9)</f>
        <v>0</v>
      </c>
      <c r="R9" s="301"/>
    </row>
    <row r="10" spans="1:18" s="21" customFormat="1" ht="38.25" x14ac:dyDescent="0.2">
      <c r="A10" s="701" t="s">
        <v>413</v>
      </c>
      <c r="B10" s="411">
        <f>'2b. tábla 2020. (2)'!E31</f>
        <v>258054470</v>
      </c>
      <c r="C10" s="411">
        <f>'2b. tábla 2020. (2)'!I31</f>
        <v>261996150</v>
      </c>
      <c r="D10" s="411">
        <f>'2b. tábla 2020. (2)'!K31</f>
        <v>268389980</v>
      </c>
      <c r="E10" s="341">
        <f t="shared" ref="E10:E13" si="11">D10-C10</f>
        <v>6393830</v>
      </c>
      <c r="F10" s="491"/>
      <c r="G10" s="248"/>
      <c r="H10" s="248"/>
      <c r="I10" s="339"/>
      <c r="J10" s="710"/>
      <c r="K10" s="248"/>
      <c r="L10" s="248"/>
      <c r="M10" s="248"/>
      <c r="N10" s="349">
        <f t="shared" ref="N10:P13" si="12">SUM(B10+F10+J10)</f>
        <v>258054470</v>
      </c>
      <c r="O10" s="79">
        <f t="shared" si="12"/>
        <v>261996150</v>
      </c>
      <c r="P10" s="79">
        <f t="shared" si="12"/>
        <v>268389980</v>
      </c>
      <c r="Q10" s="339">
        <f t="shared" ref="Q10:Q13" si="13">SUM(E10+I10+M10)</f>
        <v>6393830</v>
      </c>
      <c r="R10" s="301"/>
    </row>
    <row r="11" spans="1:18" s="21" customFormat="1" ht="38.25" x14ac:dyDescent="0.2">
      <c r="A11" s="610" t="s">
        <v>414</v>
      </c>
      <c r="B11" s="411">
        <f>'2b. tábla 2020. (2)'!E39</f>
        <v>231000305</v>
      </c>
      <c r="C11" s="411">
        <f>'2b. tábla 2020. (2)'!I39</f>
        <v>213491349</v>
      </c>
      <c r="D11" s="411">
        <f>'2b. tábla 2020. (2)'!K39</f>
        <v>212951179</v>
      </c>
      <c r="E11" s="341">
        <f t="shared" si="11"/>
        <v>-540170</v>
      </c>
      <c r="F11" s="491"/>
      <c r="G11" s="248"/>
      <c r="H11" s="248"/>
      <c r="I11" s="339"/>
      <c r="J11" s="710"/>
      <c r="K11" s="248"/>
      <c r="L11" s="248"/>
      <c r="M11" s="248"/>
      <c r="N11" s="349">
        <f t="shared" si="12"/>
        <v>231000305</v>
      </c>
      <c r="O11" s="79">
        <f t="shared" si="12"/>
        <v>213491349</v>
      </c>
      <c r="P11" s="79">
        <f t="shared" si="12"/>
        <v>212951179</v>
      </c>
      <c r="Q11" s="339">
        <f t="shared" si="13"/>
        <v>-540170</v>
      </c>
      <c r="R11" s="301"/>
    </row>
    <row r="12" spans="1:18" s="21" customFormat="1" ht="25.5" x14ac:dyDescent="0.2">
      <c r="A12" s="610" t="s">
        <v>415</v>
      </c>
      <c r="B12" s="411">
        <f>'2b. tábla 2020. (2)'!E70</f>
        <v>17059887</v>
      </c>
      <c r="C12" s="155">
        <f>'2b. tábla 2020. (2)'!I70</f>
        <v>22923797</v>
      </c>
      <c r="D12" s="155">
        <f>'2b. tábla 2020. (2)'!K70</f>
        <v>22923797</v>
      </c>
      <c r="E12" s="341">
        <f t="shared" si="11"/>
        <v>0</v>
      </c>
      <c r="F12" s="491"/>
      <c r="G12" s="248"/>
      <c r="H12" s="248"/>
      <c r="I12" s="339"/>
      <c r="J12" s="710"/>
      <c r="K12" s="248"/>
      <c r="L12" s="248"/>
      <c r="M12" s="248"/>
      <c r="N12" s="349">
        <f t="shared" si="12"/>
        <v>17059887</v>
      </c>
      <c r="O12" s="79">
        <f t="shared" si="12"/>
        <v>22923797</v>
      </c>
      <c r="P12" s="79">
        <f t="shared" si="12"/>
        <v>22923797</v>
      </c>
      <c r="Q12" s="339">
        <f t="shared" si="13"/>
        <v>0</v>
      </c>
      <c r="R12" s="301"/>
    </row>
    <row r="13" spans="1:18" s="20" customFormat="1" ht="38.25" x14ac:dyDescent="0.2">
      <c r="A13" s="610" t="s">
        <v>357</v>
      </c>
      <c r="B13" s="490">
        <v>0</v>
      </c>
      <c r="C13" s="155">
        <f>'2b. tábla 2020. (2)'!I76</f>
        <v>302252213</v>
      </c>
      <c r="D13" s="155">
        <f>'2b. tábla 2020. (2)'!K76</f>
        <v>306509284</v>
      </c>
      <c r="E13" s="341">
        <f t="shared" si="11"/>
        <v>4257071</v>
      </c>
      <c r="F13" s="492"/>
      <c r="G13" s="248"/>
      <c r="H13" s="248"/>
      <c r="I13" s="339"/>
      <c r="J13" s="711"/>
      <c r="K13" s="248"/>
      <c r="L13" s="248"/>
      <c r="M13" s="248"/>
      <c r="N13" s="349">
        <f t="shared" si="12"/>
        <v>0</v>
      </c>
      <c r="O13" s="79">
        <f t="shared" si="12"/>
        <v>302252213</v>
      </c>
      <c r="P13" s="79">
        <f t="shared" si="12"/>
        <v>306509284</v>
      </c>
      <c r="Q13" s="339">
        <f t="shared" si="13"/>
        <v>4257071</v>
      </c>
      <c r="R13" s="14"/>
    </row>
    <row r="14" spans="1:18" s="20" customFormat="1" ht="25.5" x14ac:dyDescent="0.2">
      <c r="A14" s="610" t="s">
        <v>366</v>
      </c>
      <c r="B14" s="408"/>
      <c r="C14" s="410"/>
      <c r="D14" s="410"/>
      <c r="E14" s="702"/>
      <c r="F14" s="492"/>
      <c r="G14" s="248"/>
      <c r="H14" s="248"/>
      <c r="I14" s="339"/>
      <c r="J14" s="711"/>
      <c r="K14" s="248"/>
      <c r="L14" s="248"/>
      <c r="M14" s="248"/>
      <c r="N14" s="349">
        <f>SUM(B14+F14+J14)</f>
        <v>0</v>
      </c>
      <c r="O14" s="248"/>
      <c r="P14" s="248"/>
      <c r="Q14" s="339"/>
      <c r="R14" s="14"/>
    </row>
    <row r="15" spans="1:18" s="20" customFormat="1" x14ac:dyDescent="0.2">
      <c r="A15" s="610" t="s">
        <v>452</v>
      </c>
      <c r="B15" s="408"/>
      <c r="C15" s="410"/>
      <c r="D15" s="410"/>
      <c r="E15" s="702"/>
      <c r="F15" s="492"/>
      <c r="G15" s="248"/>
      <c r="H15" s="248"/>
      <c r="I15" s="339"/>
      <c r="J15" s="711"/>
      <c r="K15" s="248"/>
      <c r="L15" s="248"/>
      <c r="M15" s="248"/>
      <c r="N15" s="84"/>
      <c r="O15" s="248"/>
      <c r="P15" s="248"/>
      <c r="Q15" s="339"/>
      <c r="R15" s="14"/>
    </row>
    <row r="16" spans="1:18" s="20" customFormat="1" x14ac:dyDescent="0.2">
      <c r="A16" s="610" t="s">
        <v>320</v>
      </c>
      <c r="B16" s="408"/>
      <c r="C16" s="410"/>
      <c r="D16" s="410"/>
      <c r="E16" s="702"/>
      <c r="F16" s="492"/>
      <c r="G16" s="248"/>
      <c r="H16" s="248"/>
      <c r="I16" s="339"/>
      <c r="J16" s="711"/>
      <c r="K16" s="248"/>
      <c r="L16" s="248"/>
      <c r="M16" s="248"/>
      <c r="N16" s="84"/>
      <c r="O16" s="248"/>
      <c r="P16" s="248"/>
      <c r="Q16" s="339"/>
      <c r="R16" s="14"/>
    </row>
    <row r="17" spans="1:18" s="22" customFormat="1" ht="51" x14ac:dyDescent="0.2">
      <c r="A17" s="610" t="s">
        <v>416</v>
      </c>
      <c r="B17" s="408"/>
      <c r="C17" s="410"/>
      <c r="D17" s="410"/>
      <c r="E17" s="702"/>
      <c r="F17" s="493"/>
      <c r="G17" s="411"/>
      <c r="H17" s="411"/>
      <c r="I17" s="341"/>
      <c r="J17" s="712"/>
      <c r="K17" s="411"/>
      <c r="L17" s="411"/>
      <c r="M17" s="411"/>
      <c r="N17" s="84"/>
      <c r="O17" s="248"/>
      <c r="P17" s="248"/>
      <c r="Q17" s="339"/>
      <c r="R17" s="302"/>
    </row>
    <row r="18" spans="1:18" s="22" customFormat="1" ht="51" x14ac:dyDescent="0.2">
      <c r="A18" s="610" t="s">
        <v>417</v>
      </c>
      <c r="B18" s="408"/>
      <c r="C18" s="410"/>
      <c r="D18" s="410"/>
      <c r="E18" s="702"/>
      <c r="F18" s="493"/>
      <c r="G18" s="411"/>
      <c r="H18" s="411"/>
      <c r="I18" s="341"/>
      <c r="J18" s="712"/>
      <c r="K18" s="411"/>
      <c r="L18" s="411"/>
      <c r="M18" s="411"/>
      <c r="N18" s="84"/>
      <c r="O18" s="248"/>
      <c r="P18" s="248"/>
      <c r="Q18" s="339"/>
      <c r="R18" s="302"/>
    </row>
    <row r="19" spans="1:18" s="22" customFormat="1" ht="51" x14ac:dyDescent="0.2">
      <c r="A19" s="610" t="s">
        <v>418</v>
      </c>
      <c r="B19" s="408"/>
      <c r="C19" s="410"/>
      <c r="D19" s="410"/>
      <c r="E19" s="702"/>
      <c r="F19" s="493"/>
      <c r="G19" s="411"/>
      <c r="H19" s="411"/>
      <c r="I19" s="341"/>
      <c r="J19" s="712"/>
      <c r="K19" s="411"/>
      <c r="L19" s="411"/>
      <c r="M19" s="411"/>
      <c r="N19" s="84"/>
      <c r="O19" s="248"/>
      <c r="P19" s="248"/>
      <c r="Q19" s="339"/>
      <c r="R19" s="302"/>
    </row>
    <row r="20" spans="1:18" s="20" customFormat="1" ht="38.25" x14ac:dyDescent="0.2">
      <c r="A20" s="610" t="s">
        <v>419</v>
      </c>
      <c r="B20" s="490">
        <v>333427140</v>
      </c>
      <c r="C20" s="411">
        <v>294501768</v>
      </c>
      <c r="D20" s="411">
        <v>308851591</v>
      </c>
      <c r="E20" s="341">
        <f>D20-C20</f>
        <v>14349823</v>
      </c>
      <c r="F20" s="1223">
        <f>'2.a tábla ÚJ '!S13</f>
        <v>30078809</v>
      </c>
      <c r="G20" s="409">
        <f>'2.a tábla ÚJ '!T13</f>
        <v>23886635</v>
      </c>
      <c r="H20" s="409">
        <f>'2.a tábla ÚJ '!U13</f>
        <v>23886635</v>
      </c>
      <c r="I20" s="702">
        <f>H20-G20</f>
        <v>0</v>
      </c>
      <c r="J20" s="713">
        <f>'2.a tábla ÚJ '!N13</f>
        <v>139996733</v>
      </c>
      <c r="K20" s="410">
        <f>'2.a tábla ÚJ '!O13</f>
        <v>168676682</v>
      </c>
      <c r="L20" s="410">
        <f>'2.a tábla ÚJ '!P13</f>
        <v>169776682</v>
      </c>
      <c r="M20" s="410">
        <f>'2.a tábla ÚJ '!Q13</f>
        <v>1100000</v>
      </c>
      <c r="N20" s="349">
        <f t="shared" ref="N20:N27" si="14">SUM(B20+F20+J20)</f>
        <v>503502682</v>
      </c>
      <c r="O20" s="79">
        <f t="shared" ref="O20:Q21" si="15">C20+G20+K20</f>
        <v>487065085</v>
      </c>
      <c r="P20" s="79">
        <f t="shared" si="15"/>
        <v>502514908</v>
      </c>
      <c r="Q20" s="339">
        <f t="shared" si="15"/>
        <v>15449823</v>
      </c>
      <c r="R20" s="14"/>
    </row>
    <row r="21" spans="1:18" s="20" customFormat="1" ht="49.7" customHeight="1" x14ac:dyDescent="0.2">
      <c r="A21" s="610" t="s">
        <v>420</v>
      </c>
      <c r="B21" s="408"/>
      <c r="C21" s="410"/>
      <c r="D21" s="410"/>
      <c r="E21" s="702"/>
      <c r="F21" s="492"/>
      <c r="G21" s="248"/>
      <c r="H21" s="248"/>
      <c r="I21" s="339"/>
      <c r="J21" s="713">
        <f>'2.a tábla ÚJ '!N14</f>
        <v>135000000</v>
      </c>
      <c r="K21" s="410">
        <f>'2.a tábla ÚJ '!O14</f>
        <v>153679949</v>
      </c>
      <c r="L21" s="410">
        <f>'2.a tábla ÚJ '!P14</f>
        <v>154779949</v>
      </c>
      <c r="M21" s="410">
        <f>'2.a tábla ÚJ '!Q14</f>
        <v>1100000</v>
      </c>
      <c r="N21" s="349">
        <f t="shared" si="14"/>
        <v>135000000</v>
      </c>
      <c r="O21" s="79">
        <f t="shared" si="15"/>
        <v>153679949</v>
      </c>
      <c r="P21" s="79">
        <f t="shared" si="15"/>
        <v>154779949</v>
      </c>
      <c r="Q21" s="339">
        <f t="shared" si="15"/>
        <v>1100000</v>
      </c>
      <c r="R21" s="14"/>
    </row>
    <row r="22" spans="1:18" s="20" customFormat="1" ht="38.25" x14ac:dyDescent="0.2">
      <c r="A22" s="612" t="s">
        <v>375</v>
      </c>
      <c r="B22" s="83">
        <f>B23+B24+B25+B26+B27</f>
        <v>4747780431</v>
      </c>
      <c r="C22" s="78">
        <f>C23+C24+C25+C26+C27</f>
        <v>6801367830</v>
      </c>
      <c r="D22" s="78">
        <f>D23+D24+D25+D26+D27</f>
        <v>6283131318</v>
      </c>
      <c r="E22" s="338">
        <f>E23+E24+E25+E26+E27</f>
        <v>-518236512</v>
      </c>
      <c r="F22" s="83">
        <f>F23+F24+F25+F26+F27</f>
        <v>0</v>
      </c>
      <c r="G22" s="78">
        <f t="shared" ref="G22" si="16">G23+G24+G25+G26+G27</f>
        <v>0</v>
      </c>
      <c r="H22" s="78">
        <f t="shared" ref="H22" si="17">H23+H24+H25+H26+H27</f>
        <v>0</v>
      </c>
      <c r="I22" s="338">
        <f t="shared" ref="I22:P22" si="18">I23+I24+I25+I26+I27</f>
        <v>0</v>
      </c>
      <c r="J22" s="585">
        <f t="shared" ref="J22:L22" si="19">J23+J24+J25+J26+J27</f>
        <v>3468000</v>
      </c>
      <c r="K22" s="78">
        <f t="shared" ref="K22" si="20">K23+K24+K25+K26+K27</f>
        <v>3468000</v>
      </c>
      <c r="L22" s="78">
        <f t="shared" si="19"/>
        <v>3468000</v>
      </c>
      <c r="M22" s="78">
        <f t="shared" si="18"/>
        <v>0</v>
      </c>
      <c r="N22" s="412">
        <f t="shared" si="14"/>
        <v>4751248431</v>
      </c>
      <c r="O22" s="78">
        <f t="shared" ref="O22" si="21">O23+O24+O25+O26+O27</f>
        <v>6804835830</v>
      </c>
      <c r="P22" s="78">
        <f t="shared" si="18"/>
        <v>6286599318</v>
      </c>
      <c r="Q22" s="338">
        <f>Q23+Q24+Q25+Q26+Q27</f>
        <v>-518236512</v>
      </c>
      <c r="R22" s="14"/>
    </row>
    <row r="23" spans="1:18" s="20" customFormat="1" ht="25.5" x14ac:dyDescent="0.2">
      <c r="A23" s="610" t="s">
        <v>421</v>
      </c>
      <c r="B23" s="408"/>
      <c r="C23" s="410"/>
      <c r="D23" s="410">
        <f>'2b. tábla 2020. (2)'!K88</f>
        <v>43215050</v>
      </c>
      <c r="E23" s="702">
        <f>D23</f>
        <v>43215050</v>
      </c>
      <c r="F23" s="492"/>
      <c r="G23" s="248"/>
      <c r="H23" s="248"/>
      <c r="I23" s="339"/>
      <c r="J23" s="711"/>
      <c r="K23" s="248"/>
      <c r="L23" s="248"/>
      <c r="M23" s="248"/>
      <c r="N23" s="349">
        <f t="shared" si="14"/>
        <v>0</v>
      </c>
      <c r="O23" s="79">
        <f>SUM(C23+G23+K23)</f>
        <v>0</v>
      </c>
      <c r="P23" s="79">
        <f>SUM(D23+H23+L23)</f>
        <v>43215050</v>
      </c>
      <c r="Q23" s="647">
        <f>SUM(E23+I23+M23)</f>
        <v>43215050</v>
      </c>
      <c r="R23" s="14"/>
    </row>
    <row r="24" spans="1:18" s="20" customFormat="1" ht="63.75" x14ac:dyDescent="0.2">
      <c r="A24" s="610" t="s">
        <v>422</v>
      </c>
      <c r="B24" s="408"/>
      <c r="C24" s="410"/>
      <c r="D24" s="410"/>
      <c r="E24" s="702"/>
      <c r="F24" s="492"/>
      <c r="G24" s="248"/>
      <c r="H24" s="248"/>
      <c r="I24" s="339"/>
      <c r="J24" s="711"/>
      <c r="K24" s="248"/>
      <c r="L24" s="248"/>
      <c r="M24" s="248"/>
      <c r="N24" s="349">
        <f t="shared" si="14"/>
        <v>0</v>
      </c>
      <c r="O24" s="248"/>
      <c r="P24" s="248"/>
      <c r="Q24" s="339"/>
      <c r="R24" s="14"/>
    </row>
    <row r="25" spans="1:18" s="20" customFormat="1" ht="51" x14ac:dyDescent="0.2">
      <c r="A25" s="610" t="s">
        <v>423</v>
      </c>
      <c r="B25" s="408"/>
      <c r="C25" s="410"/>
      <c r="D25" s="410"/>
      <c r="E25" s="702"/>
      <c r="F25" s="492"/>
      <c r="G25" s="248"/>
      <c r="H25" s="248"/>
      <c r="I25" s="339"/>
      <c r="J25" s="711"/>
      <c r="K25" s="248"/>
      <c r="L25" s="248"/>
      <c r="M25" s="248"/>
      <c r="N25" s="349">
        <f t="shared" si="14"/>
        <v>0</v>
      </c>
      <c r="O25" s="248"/>
      <c r="P25" s="248"/>
      <c r="Q25" s="339"/>
      <c r="R25" s="14"/>
    </row>
    <row r="26" spans="1:18" s="20" customFormat="1" ht="51" x14ac:dyDescent="0.2">
      <c r="A26" s="610" t="s">
        <v>424</v>
      </c>
      <c r="B26" s="408"/>
      <c r="C26" s="410"/>
      <c r="D26" s="410"/>
      <c r="E26" s="702"/>
      <c r="F26" s="492"/>
      <c r="G26" s="248"/>
      <c r="H26" s="248"/>
      <c r="I26" s="339"/>
      <c r="J26" s="711"/>
      <c r="K26" s="248"/>
      <c r="L26" s="248"/>
      <c r="M26" s="248"/>
      <c r="N26" s="349">
        <f t="shared" si="14"/>
        <v>0</v>
      </c>
      <c r="O26" s="248"/>
      <c r="P26" s="248"/>
      <c r="Q26" s="339"/>
      <c r="R26" s="14"/>
    </row>
    <row r="27" spans="1:18" s="20" customFormat="1" ht="39" thickBot="1" x14ac:dyDescent="0.25">
      <c r="A27" s="615" t="s">
        <v>321</v>
      </c>
      <c r="B27" s="703">
        <v>4747780431</v>
      </c>
      <c r="C27" s="489">
        <v>6801367830</v>
      </c>
      <c r="D27" s="489">
        <v>6239916268</v>
      </c>
      <c r="E27" s="704">
        <f>D27-C27</f>
        <v>-561451562</v>
      </c>
      <c r="F27" s="494"/>
      <c r="G27" s="413"/>
      <c r="H27" s="413"/>
      <c r="I27" s="340"/>
      <c r="J27" s="616">
        <f>'2.a tábla ÚJ '!N16</f>
        <v>3468000</v>
      </c>
      <c r="K27" s="300">
        <f>'2.a tábla ÚJ '!O16</f>
        <v>3468000</v>
      </c>
      <c r="L27" s="300">
        <f>'2.a tábla ÚJ '!P16</f>
        <v>3468000</v>
      </c>
      <c r="M27" s="300">
        <f>'2.a tábla ÚJ '!Q16</f>
        <v>0</v>
      </c>
      <c r="N27" s="414">
        <f t="shared" si="14"/>
        <v>4751248431</v>
      </c>
      <c r="O27" s="300">
        <f>C27+G27+K27</f>
        <v>6804835830</v>
      </c>
      <c r="P27" s="300">
        <f>D27+H27+L27</f>
        <v>6243384268</v>
      </c>
      <c r="Q27" s="340">
        <f>E27+I27+M27</f>
        <v>-561451562</v>
      </c>
      <c r="R27" s="14"/>
    </row>
    <row r="28" spans="1:18" s="20" customFormat="1" ht="27" customHeight="1" thickBot="1" x14ac:dyDescent="0.25">
      <c r="A28" s="488" t="s">
        <v>302</v>
      </c>
      <c r="B28" s="1904" t="s">
        <v>408</v>
      </c>
      <c r="C28" s="1905"/>
      <c r="D28" s="1905"/>
      <c r="E28" s="1906"/>
      <c r="F28" s="1904" t="s">
        <v>200</v>
      </c>
      <c r="G28" s="1905"/>
      <c r="H28" s="1905"/>
      <c r="I28" s="1906"/>
      <c r="J28" s="1916" t="s">
        <v>409</v>
      </c>
      <c r="K28" s="1917"/>
      <c r="L28" s="1917"/>
      <c r="M28" s="1917"/>
      <c r="N28" s="1918" t="s">
        <v>410</v>
      </c>
      <c r="O28" s="1917"/>
      <c r="P28" s="1917"/>
      <c r="Q28" s="1919"/>
      <c r="R28" s="14"/>
    </row>
    <row r="29" spans="1:18" s="20" customFormat="1" ht="54" customHeight="1" thickBot="1" x14ac:dyDescent="0.25">
      <c r="A29" s="174"/>
      <c r="B29" s="1202" t="s">
        <v>660</v>
      </c>
      <c r="C29" s="390" t="s">
        <v>1021</v>
      </c>
      <c r="D29" s="390" t="s">
        <v>1111</v>
      </c>
      <c r="E29" s="391" t="s">
        <v>987</v>
      </c>
      <c r="F29" s="556" t="s">
        <v>660</v>
      </c>
      <c r="G29" s="390" t="s">
        <v>1021</v>
      </c>
      <c r="H29" s="390" t="s">
        <v>1111</v>
      </c>
      <c r="I29" s="391" t="s">
        <v>987</v>
      </c>
      <c r="J29" s="556" t="s">
        <v>660</v>
      </c>
      <c r="K29" s="390" t="s">
        <v>1021</v>
      </c>
      <c r="L29" s="390" t="s">
        <v>1111</v>
      </c>
      <c r="M29" s="391" t="s">
        <v>987</v>
      </c>
      <c r="N29" s="556" t="s">
        <v>660</v>
      </c>
      <c r="O29" s="390" t="s">
        <v>1021</v>
      </c>
      <c r="P29" s="390" t="s">
        <v>1111</v>
      </c>
      <c r="Q29" s="391" t="s">
        <v>987</v>
      </c>
      <c r="R29" s="14"/>
    </row>
    <row r="30" spans="1:18" s="20" customFormat="1" ht="25.5" customHeight="1" x14ac:dyDescent="0.2">
      <c r="A30" s="609" t="s">
        <v>376</v>
      </c>
      <c r="B30" s="211">
        <f t="shared" ref="B30:D30" si="22">B31+B34+B42</f>
        <v>2058240000</v>
      </c>
      <c r="C30" s="186">
        <f t="shared" ref="C30" si="23">C31+C34+C42</f>
        <v>1627117610</v>
      </c>
      <c r="D30" s="186">
        <f t="shared" si="22"/>
        <v>1627117610</v>
      </c>
      <c r="E30" s="348">
        <f t="shared" ref="E30" si="24">E31+E34+E42</f>
        <v>0</v>
      </c>
      <c r="F30" s="211">
        <f t="shared" ref="F30:H30" si="25">F31+F34+F42</f>
        <v>0</v>
      </c>
      <c r="G30" s="186">
        <f t="shared" ref="G30" si="26">G31+G34+G42</f>
        <v>0</v>
      </c>
      <c r="H30" s="186">
        <f t="shared" si="25"/>
        <v>0</v>
      </c>
      <c r="I30" s="348">
        <f t="shared" ref="I30:M30" si="27">I31+I34+I42</f>
        <v>0</v>
      </c>
      <c r="J30" s="708"/>
      <c r="K30" s="186">
        <f t="shared" ref="K30" si="28">K31+K34+K42</f>
        <v>0</v>
      </c>
      <c r="L30" s="186">
        <f t="shared" ref="L30" si="29">L31+L34+L42</f>
        <v>0</v>
      </c>
      <c r="M30" s="186">
        <f t="shared" si="27"/>
        <v>0</v>
      </c>
      <c r="N30" s="406">
        <f t="shared" ref="N30:N57" si="30">SUM(B30+F30+J30)</f>
        <v>2058240000</v>
      </c>
      <c r="O30" s="186">
        <f t="shared" ref="O30:P57" si="31">SUM(C30+G30+K30)</f>
        <v>1627117610</v>
      </c>
      <c r="P30" s="186">
        <f t="shared" si="31"/>
        <v>1627117610</v>
      </c>
      <c r="Q30" s="348">
        <f t="shared" ref="Q30:Q57" si="32">SUM(E30+I30+M30)</f>
        <v>0</v>
      </c>
      <c r="R30" s="303">
        <f>E30-E37-E42</f>
        <v>-10000000</v>
      </c>
    </row>
    <row r="31" spans="1:18" s="20" customFormat="1" x14ac:dyDescent="0.2">
      <c r="A31" s="610" t="s">
        <v>426</v>
      </c>
      <c r="B31" s="84">
        <f t="shared" ref="B31:D31" si="33">SUM(B32:B33)</f>
        <v>475000000</v>
      </c>
      <c r="C31" s="79">
        <f t="shared" ref="C31" si="34">SUM(C32:C33)</f>
        <v>475000000</v>
      </c>
      <c r="D31" s="79">
        <f t="shared" si="33"/>
        <v>495000000</v>
      </c>
      <c r="E31" s="339">
        <f t="shared" ref="E31" si="35">SUM(E32:E33)</f>
        <v>20000000</v>
      </c>
      <c r="F31" s="84">
        <f t="shared" ref="F31" si="36">SUM(F32:F33)</f>
        <v>0</v>
      </c>
      <c r="G31" s="248"/>
      <c r="H31" s="248"/>
      <c r="I31" s="339"/>
      <c r="J31" s="584"/>
      <c r="K31" s="248"/>
      <c r="L31" s="248"/>
      <c r="M31" s="248"/>
      <c r="N31" s="349">
        <f t="shared" si="30"/>
        <v>475000000</v>
      </c>
      <c r="O31" s="79">
        <f t="shared" si="31"/>
        <v>475000000</v>
      </c>
      <c r="P31" s="79">
        <f t="shared" si="31"/>
        <v>495000000</v>
      </c>
      <c r="Q31" s="339">
        <f t="shared" si="32"/>
        <v>20000000</v>
      </c>
      <c r="R31" s="14"/>
    </row>
    <row r="32" spans="1:18" s="20" customFormat="1" x14ac:dyDescent="0.2">
      <c r="A32" s="611" t="s">
        <v>427</v>
      </c>
      <c r="B32" s="84">
        <v>450000000</v>
      </c>
      <c r="C32" s="248">
        <v>450000000</v>
      </c>
      <c r="D32" s="248">
        <v>479000000</v>
      </c>
      <c r="E32" s="339">
        <f>D32-C32</f>
        <v>29000000</v>
      </c>
      <c r="F32" s="84"/>
      <c r="G32" s="415"/>
      <c r="H32" s="415"/>
      <c r="I32" s="705"/>
      <c r="J32" s="584"/>
      <c r="K32" s="415"/>
      <c r="L32" s="415"/>
      <c r="M32" s="415"/>
      <c r="N32" s="349">
        <f t="shared" si="30"/>
        <v>450000000</v>
      </c>
      <c r="O32" s="79">
        <f t="shared" si="31"/>
        <v>450000000</v>
      </c>
      <c r="P32" s="79">
        <f t="shared" si="31"/>
        <v>479000000</v>
      </c>
      <c r="Q32" s="339">
        <f t="shared" si="32"/>
        <v>29000000</v>
      </c>
      <c r="R32" s="14"/>
    </row>
    <row r="33" spans="1:18" s="20" customFormat="1" x14ac:dyDescent="0.2">
      <c r="A33" s="611" t="s">
        <v>428</v>
      </c>
      <c r="B33" s="84">
        <v>25000000</v>
      </c>
      <c r="C33" s="248">
        <v>25000000</v>
      </c>
      <c r="D33" s="248">
        <v>16000000</v>
      </c>
      <c r="E33" s="339">
        <f>D33-C33</f>
        <v>-9000000</v>
      </c>
      <c r="F33" s="84"/>
      <c r="G33" s="415"/>
      <c r="H33" s="415"/>
      <c r="I33" s="705"/>
      <c r="J33" s="584"/>
      <c r="K33" s="415"/>
      <c r="L33" s="415"/>
      <c r="M33" s="415"/>
      <c r="N33" s="349">
        <f t="shared" si="30"/>
        <v>25000000</v>
      </c>
      <c r="O33" s="79">
        <f t="shared" si="31"/>
        <v>25000000</v>
      </c>
      <c r="P33" s="79">
        <f t="shared" si="31"/>
        <v>16000000</v>
      </c>
      <c r="Q33" s="339">
        <f t="shared" si="32"/>
        <v>-9000000</v>
      </c>
      <c r="R33" s="14"/>
    </row>
    <row r="34" spans="1:18" s="20" customFormat="1" ht="27" customHeight="1" x14ac:dyDescent="0.2">
      <c r="A34" s="610" t="s">
        <v>429</v>
      </c>
      <c r="B34" s="84">
        <f>B35+B37+B38</f>
        <v>1573840000</v>
      </c>
      <c r="C34" s="79">
        <f>C35+C37+C38</f>
        <v>1142717610</v>
      </c>
      <c r="D34" s="79">
        <f>D35+D37+D38</f>
        <v>1112717610</v>
      </c>
      <c r="E34" s="339">
        <f>E35+E37+E38</f>
        <v>-30000000</v>
      </c>
      <c r="F34" s="84"/>
      <c r="G34" s="248"/>
      <c r="H34" s="248"/>
      <c r="I34" s="339"/>
      <c r="J34" s="584"/>
      <c r="K34" s="248"/>
      <c r="L34" s="248"/>
      <c r="M34" s="248"/>
      <c r="N34" s="349">
        <f t="shared" si="30"/>
        <v>1573840000</v>
      </c>
      <c r="O34" s="79">
        <f t="shared" si="31"/>
        <v>1142717610</v>
      </c>
      <c r="P34" s="79">
        <f t="shared" si="31"/>
        <v>1112717610</v>
      </c>
      <c r="Q34" s="339">
        <f t="shared" si="32"/>
        <v>-30000000</v>
      </c>
      <c r="R34" s="14"/>
    </row>
    <row r="35" spans="1:18" s="20" customFormat="1" ht="25.5" customHeight="1" x14ac:dyDescent="0.2">
      <c r="A35" s="610" t="s">
        <v>430</v>
      </c>
      <c r="B35" s="84">
        <f>SUM(B36)</f>
        <v>1100000000</v>
      </c>
      <c r="C35" s="79">
        <f>SUM(C36)</f>
        <v>1100000000</v>
      </c>
      <c r="D35" s="79">
        <f>SUM(D36)</f>
        <v>1064000000</v>
      </c>
      <c r="E35" s="339">
        <f>SUM(E36)</f>
        <v>-36000000</v>
      </c>
      <c r="F35" s="84"/>
      <c r="G35" s="415"/>
      <c r="H35" s="415"/>
      <c r="I35" s="705"/>
      <c r="J35" s="584"/>
      <c r="K35" s="415"/>
      <c r="L35" s="415"/>
      <c r="M35" s="415"/>
      <c r="N35" s="349">
        <f t="shared" si="30"/>
        <v>1100000000</v>
      </c>
      <c r="O35" s="79">
        <f t="shared" si="31"/>
        <v>1100000000</v>
      </c>
      <c r="P35" s="79">
        <f t="shared" si="31"/>
        <v>1064000000</v>
      </c>
      <c r="Q35" s="339">
        <f t="shared" si="32"/>
        <v>-36000000</v>
      </c>
      <c r="R35" s="14"/>
    </row>
    <row r="36" spans="1:18" s="20" customFormat="1" x14ac:dyDescent="0.2">
      <c r="A36" s="610" t="s">
        <v>431</v>
      </c>
      <c r="B36" s="84">
        <v>1100000000</v>
      </c>
      <c r="C36" s="248">
        <v>1100000000</v>
      </c>
      <c r="D36" s="248">
        <v>1064000000</v>
      </c>
      <c r="E36" s="339">
        <f>D36-C36</f>
        <v>-36000000</v>
      </c>
      <c r="F36" s="84"/>
      <c r="G36" s="415"/>
      <c r="H36" s="415"/>
      <c r="I36" s="705"/>
      <c r="J36" s="584"/>
      <c r="K36" s="415"/>
      <c r="L36" s="415"/>
      <c r="M36" s="415"/>
      <c r="N36" s="349">
        <f t="shared" si="30"/>
        <v>1100000000</v>
      </c>
      <c r="O36" s="79">
        <f t="shared" si="31"/>
        <v>1100000000</v>
      </c>
      <c r="P36" s="79">
        <f t="shared" si="31"/>
        <v>1064000000</v>
      </c>
      <c r="Q36" s="339">
        <f t="shared" si="32"/>
        <v>-36000000</v>
      </c>
      <c r="R36" s="14"/>
    </row>
    <row r="37" spans="1:18" s="20" customFormat="1" x14ac:dyDescent="0.2">
      <c r="A37" s="610" t="s">
        <v>432</v>
      </c>
      <c r="B37" s="84">
        <v>58840000</v>
      </c>
      <c r="C37" s="248"/>
      <c r="D37" s="248"/>
      <c r="E37" s="339">
        <f>D37-C37</f>
        <v>0</v>
      </c>
      <c r="F37" s="84"/>
      <c r="G37" s="415"/>
      <c r="H37" s="415"/>
      <c r="I37" s="705"/>
      <c r="J37" s="584"/>
      <c r="K37" s="415"/>
      <c r="L37" s="415"/>
      <c r="M37" s="415"/>
      <c r="N37" s="349">
        <f t="shared" si="30"/>
        <v>58840000</v>
      </c>
      <c r="O37" s="79">
        <f t="shared" si="31"/>
        <v>0</v>
      </c>
      <c r="P37" s="79">
        <f t="shared" si="31"/>
        <v>0</v>
      </c>
      <c r="Q37" s="339">
        <f t="shared" si="32"/>
        <v>0</v>
      </c>
      <c r="R37" s="14"/>
    </row>
    <row r="38" spans="1:18" s="20" customFormat="1" ht="25.5" x14ac:dyDescent="0.2">
      <c r="A38" s="610" t="s">
        <v>433</v>
      </c>
      <c r="B38" s="84">
        <f>SUM(B39:B41)</f>
        <v>415000000</v>
      </c>
      <c r="C38" s="79">
        <f>SUM(C39:C41)</f>
        <v>42717610</v>
      </c>
      <c r="D38" s="79">
        <f>SUM(D39:D41)</f>
        <v>48717610</v>
      </c>
      <c r="E38" s="339">
        <f>SUM(E39:E41)</f>
        <v>6000000</v>
      </c>
      <c r="F38" s="84"/>
      <c r="G38" s="248"/>
      <c r="H38" s="248"/>
      <c r="I38" s="339"/>
      <c r="J38" s="584"/>
      <c r="K38" s="248"/>
      <c r="L38" s="248"/>
      <c r="M38" s="248"/>
      <c r="N38" s="349">
        <f t="shared" si="30"/>
        <v>415000000</v>
      </c>
      <c r="O38" s="79">
        <f t="shared" si="31"/>
        <v>42717610</v>
      </c>
      <c r="P38" s="79">
        <f t="shared" si="31"/>
        <v>48717610</v>
      </c>
      <c r="Q38" s="339">
        <f t="shared" si="32"/>
        <v>6000000</v>
      </c>
      <c r="R38" s="14"/>
    </row>
    <row r="39" spans="1:18" s="20" customFormat="1" x14ac:dyDescent="0.2">
      <c r="A39" s="610" t="s">
        <v>434</v>
      </c>
      <c r="B39" s="84">
        <v>415000000</v>
      </c>
      <c r="C39" s="248">
        <v>42717610</v>
      </c>
      <c r="D39" s="248">
        <v>45717610</v>
      </c>
      <c r="E39" s="339">
        <f>D39-C39</f>
        <v>3000000</v>
      </c>
      <c r="F39" s="84"/>
      <c r="G39" s="415"/>
      <c r="H39" s="415"/>
      <c r="I39" s="705"/>
      <c r="J39" s="584"/>
      <c r="K39" s="415"/>
      <c r="L39" s="415"/>
      <c r="M39" s="415"/>
      <c r="N39" s="349">
        <f t="shared" si="30"/>
        <v>415000000</v>
      </c>
      <c r="O39" s="79">
        <f t="shared" si="31"/>
        <v>42717610</v>
      </c>
      <c r="P39" s="79">
        <f t="shared" si="31"/>
        <v>45717610</v>
      </c>
      <c r="Q39" s="339">
        <f t="shared" si="32"/>
        <v>3000000</v>
      </c>
      <c r="R39" s="14"/>
    </row>
    <row r="40" spans="1:18" s="20" customFormat="1" ht="38.25" x14ac:dyDescent="0.2">
      <c r="A40" s="1692" t="s">
        <v>1156</v>
      </c>
      <c r="B40" s="84"/>
      <c r="C40" s="248"/>
      <c r="D40" s="248">
        <v>3000000</v>
      </c>
      <c r="E40" s="339">
        <f t="shared" ref="E40:E42" si="37">D40-C40</f>
        <v>3000000</v>
      </c>
      <c r="F40" s="84"/>
      <c r="G40" s="415"/>
      <c r="H40" s="415"/>
      <c r="I40" s="705"/>
      <c r="J40" s="584"/>
      <c r="K40" s="415"/>
      <c r="L40" s="415"/>
      <c r="M40" s="415"/>
      <c r="N40" s="349">
        <f t="shared" si="30"/>
        <v>0</v>
      </c>
      <c r="O40" s="79">
        <f t="shared" si="31"/>
        <v>0</v>
      </c>
      <c r="P40" s="79">
        <f t="shared" si="31"/>
        <v>3000000</v>
      </c>
      <c r="Q40" s="339">
        <f t="shared" si="32"/>
        <v>3000000</v>
      </c>
      <c r="R40" s="14"/>
    </row>
    <row r="41" spans="1:18" s="20" customFormat="1" x14ac:dyDescent="0.2">
      <c r="A41" s="610" t="s">
        <v>304</v>
      </c>
      <c r="B41" s="84"/>
      <c r="C41" s="248"/>
      <c r="D41" s="248"/>
      <c r="E41" s="339">
        <f t="shared" si="37"/>
        <v>0</v>
      </c>
      <c r="F41" s="84"/>
      <c r="G41" s="415"/>
      <c r="H41" s="415"/>
      <c r="I41" s="705"/>
      <c r="J41" s="584"/>
      <c r="K41" s="415"/>
      <c r="L41" s="415"/>
      <c r="M41" s="415"/>
      <c r="N41" s="349">
        <f t="shared" si="30"/>
        <v>0</v>
      </c>
      <c r="O41" s="79">
        <f t="shared" si="31"/>
        <v>0</v>
      </c>
      <c r="P41" s="79">
        <f t="shared" si="31"/>
        <v>0</v>
      </c>
      <c r="Q41" s="339">
        <f t="shared" si="32"/>
        <v>0</v>
      </c>
      <c r="R41" s="14"/>
    </row>
    <row r="42" spans="1:18" s="20" customFormat="1" ht="38.25" x14ac:dyDescent="0.2">
      <c r="A42" s="610" t="s">
        <v>516</v>
      </c>
      <c r="B42" s="84">
        <v>9400000</v>
      </c>
      <c r="C42" s="248">
        <v>9400000</v>
      </c>
      <c r="D42" s="248">
        <v>19400000</v>
      </c>
      <c r="E42" s="339">
        <f t="shared" si="37"/>
        <v>10000000</v>
      </c>
      <c r="F42" s="349">
        <f>'2.a tábla ÚJ '!S20</f>
        <v>0</v>
      </c>
      <c r="G42" s="79">
        <f>'2.a tábla ÚJ '!T20</f>
        <v>0</v>
      </c>
      <c r="H42" s="79">
        <f>'2.a tábla ÚJ '!U20</f>
        <v>0</v>
      </c>
      <c r="I42" s="339">
        <f>'2.a tábla ÚJ '!V20</f>
        <v>0</v>
      </c>
      <c r="J42" s="584"/>
      <c r="K42" s="415"/>
      <c r="L42" s="415"/>
      <c r="M42" s="415"/>
      <c r="N42" s="349">
        <f t="shared" si="30"/>
        <v>9400000</v>
      </c>
      <c r="O42" s="79">
        <f t="shared" si="31"/>
        <v>9400000</v>
      </c>
      <c r="P42" s="79">
        <f t="shared" si="31"/>
        <v>19400000</v>
      </c>
      <c r="Q42" s="339">
        <f t="shared" si="32"/>
        <v>10000000</v>
      </c>
      <c r="R42" s="14"/>
    </row>
    <row r="43" spans="1:18" s="24" customFormat="1" ht="25.5" customHeight="1" x14ac:dyDescent="0.2">
      <c r="A43" s="612" t="s">
        <v>377</v>
      </c>
      <c r="B43" s="83">
        <f t="shared" ref="B43:E43" si="38">B44+B45+B47+B48+B51+B52+B53+B54+B57+B55+B56</f>
        <v>765981293</v>
      </c>
      <c r="C43" s="78">
        <f t="shared" si="38"/>
        <v>751305131</v>
      </c>
      <c r="D43" s="78">
        <f t="shared" ref="D43" si="39">D44+D45+D47+D48+D51+D52+D53+D54+D57+D55+D56</f>
        <v>815067339</v>
      </c>
      <c r="E43" s="338">
        <f t="shared" si="38"/>
        <v>63762208</v>
      </c>
      <c r="F43" s="412">
        <f t="shared" ref="F43:H43" si="40">F44+F45+F47+F48+F51+F52+F53+F54+F57+F55+F56</f>
        <v>33410443</v>
      </c>
      <c r="G43" s="78">
        <f t="shared" ref="G43" si="41">G44+G45+G47+G48+G51+G52+G53+G54+G57+G55+G56</f>
        <v>33410443</v>
      </c>
      <c r="H43" s="78">
        <f t="shared" si="40"/>
        <v>33209750</v>
      </c>
      <c r="I43" s="338">
        <f t="shared" ref="I43:M43" si="42">I44+I45+I47+I48+I51+I52+I53+I54+I57+I55+I56</f>
        <v>578693</v>
      </c>
      <c r="J43" s="585">
        <f t="shared" ref="J43:L43" si="43">J44+J45+J47+J48+J51+J52+J53+J54+J57+J55+J56</f>
        <v>50203593</v>
      </c>
      <c r="K43" s="78">
        <f t="shared" ref="K43" si="44">K44+K45+K47+K48+K51+K52+K53+K54+K57+K55+K56</f>
        <v>49393593</v>
      </c>
      <c r="L43" s="78">
        <f t="shared" si="43"/>
        <v>49393593</v>
      </c>
      <c r="M43" s="78">
        <f t="shared" si="42"/>
        <v>0</v>
      </c>
      <c r="N43" s="412">
        <f t="shared" si="30"/>
        <v>849595329</v>
      </c>
      <c r="O43" s="78">
        <f t="shared" si="31"/>
        <v>834109167</v>
      </c>
      <c r="P43" s="78">
        <f t="shared" si="31"/>
        <v>897670682</v>
      </c>
      <c r="Q43" s="338">
        <f t="shared" si="32"/>
        <v>64340901</v>
      </c>
      <c r="R43" s="304"/>
    </row>
    <row r="44" spans="1:18" s="25" customFormat="1" ht="25.5" customHeight="1" x14ac:dyDescent="0.2">
      <c r="A44" s="611" t="s">
        <v>358</v>
      </c>
      <c r="B44" s="84"/>
      <c r="C44" s="248"/>
      <c r="D44" s="248"/>
      <c r="E44" s="339"/>
      <c r="F44" s="349"/>
      <c r="G44" s="415"/>
      <c r="H44" s="415"/>
      <c r="I44" s="338">
        <f t="shared" ref="I44" si="45">I45+I46+I48+I49+I52+I53+I54+I55+I58+I56+I57</f>
        <v>452693</v>
      </c>
      <c r="J44" s="586"/>
      <c r="K44" s="415"/>
      <c r="L44" s="415"/>
      <c r="M44" s="415"/>
      <c r="N44" s="349">
        <f t="shared" si="30"/>
        <v>0</v>
      </c>
      <c r="O44" s="79">
        <f t="shared" si="31"/>
        <v>0</v>
      </c>
      <c r="P44" s="79">
        <f t="shared" si="31"/>
        <v>0</v>
      </c>
      <c r="Q44" s="339">
        <f t="shared" si="32"/>
        <v>452693</v>
      </c>
      <c r="R44" s="305"/>
    </row>
    <row r="45" spans="1:18" s="26" customFormat="1" ht="22.7" customHeight="1" x14ac:dyDescent="0.2">
      <c r="A45" s="611" t="s">
        <v>359</v>
      </c>
      <c r="B45" s="349">
        <v>346357351</v>
      </c>
      <c r="C45" s="79">
        <v>346357351</v>
      </c>
      <c r="D45" s="79">
        <v>346357351</v>
      </c>
      <c r="E45" s="339">
        <f>D45-C45</f>
        <v>0</v>
      </c>
      <c r="F45" s="349">
        <f>'2.a tábla ÚJ '!S23</f>
        <v>23800000</v>
      </c>
      <c r="G45" s="79">
        <f>'2.a tábla ÚJ '!T23</f>
        <v>23800000</v>
      </c>
      <c r="H45" s="79">
        <f>'2.a tábla ÚJ '!U23</f>
        <v>23800000</v>
      </c>
      <c r="I45" s="338">
        <f t="shared" ref="I45" si="46">I46+I47+I49+I50+I53+I54+I55+I56+I59+I57+I58</f>
        <v>326693</v>
      </c>
      <c r="J45" s="584">
        <f>'2.a tábla ÚJ '!N23</f>
        <v>47159213</v>
      </c>
      <c r="K45" s="79">
        <f>'2.a tábla ÚJ '!O23</f>
        <v>46734016</v>
      </c>
      <c r="L45" s="79">
        <f>'2.a tábla ÚJ '!P23</f>
        <v>46734016</v>
      </c>
      <c r="M45" s="248">
        <f>'2.a tábla ÚJ '!Q23</f>
        <v>0</v>
      </c>
      <c r="N45" s="349">
        <f t="shared" si="30"/>
        <v>417316564</v>
      </c>
      <c r="O45" s="79">
        <f t="shared" si="31"/>
        <v>416891367</v>
      </c>
      <c r="P45" s="79">
        <f t="shared" si="31"/>
        <v>416891367</v>
      </c>
      <c r="Q45" s="339">
        <f t="shared" si="32"/>
        <v>326693</v>
      </c>
      <c r="R45" s="306"/>
    </row>
    <row r="46" spans="1:18" s="26" customFormat="1" ht="22.7" customHeight="1" x14ac:dyDescent="0.2">
      <c r="A46" s="611" t="s">
        <v>230</v>
      </c>
      <c r="B46" s="349">
        <v>346357351</v>
      </c>
      <c r="C46" s="79">
        <v>346357351</v>
      </c>
      <c r="D46" s="79">
        <v>346357351</v>
      </c>
      <c r="E46" s="339">
        <f t="shared" ref="E46:E57" si="47">D46-C46</f>
        <v>0</v>
      </c>
      <c r="F46" s="349">
        <f>'2.a tábla ÚJ '!S24</f>
        <v>8200000</v>
      </c>
      <c r="G46" s="79">
        <f>'2.a tábla ÚJ '!T24</f>
        <v>8200000</v>
      </c>
      <c r="H46" s="79">
        <f>'2.a tábla ÚJ '!U24</f>
        <v>8200000</v>
      </c>
      <c r="I46" s="339">
        <f>'2.a tábla ÚJ '!V24</f>
        <v>0</v>
      </c>
      <c r="J46" s="584"/>
      <c r="K46" s="248"/>
      <c r="L46" s="248"/>
      <c r="M46" s="248"/>
      <c r="N46" s="349">
        <f t="shared" si="30"/>
        <v>354557351</v>
      </c>
      <c r="O46" s="79">
        <f t="shared" si="31"/>
        <v>354557351</v>
      </c>
      <c r="P46" s="79">
        <f t="shared" si="31"/>
        <v>354557351</v>
      </c>
      <c r="Q46" s="339">
        <f t="shared" si="32"/>
        <v>0</v>
      </c>
      <c r="R46" s="306"/>
    </row>
    <row r="47" spans="1:18" s="26" customFormat="1" ht="24.75" customHeight="1" x14ac:dyDescent="0.2">
      <c r="A47" s="610" t="s">
        <v>437</v>
      </c>
      <c r="B47" s="349">
        <v>4700000</v>
      </c>
      <c r="C47" s="79">
        <v>4700000</v>
      </c>
      <c r="D47" s="79">
        <v>4700000</v>
      </c>
      <c r="E47" s="339">
        <f t="shared" si="47"/>
        <v>0</v>
      </c>
      <c r="F47" s="349">
        <f>'2.a tábla ÚJ '!S25</f>
        <v>3625000</v>
      </c>
      <c r="G47" s="79">
        <f>'2.a tábla ÚJ '!T25</f>
        <v>3625000</v>
      </c>
      <c r="H47" s="79">
        <f>'2.a tábla ÚJ '!U25</f>
        <v>3625000</v>
      </c>
      <c r="I47" s="339">
        <f>'2.a tábla ÚJ '!V25</f>
        <v>0</v>
      </c>
      <c r="J47" s="584">
        <f>'2.a tábla ÚJ '!N25</f>
        <v>228346</v>
      </c>
      <c r="K47" s="248">
        <f>'2.a tábla ÚJ '!O25</f>
        <v>228346</v>
      </c>
      <c r="L47" s="248">
        <f>'2.a tábla ÚJ '!P25</f>
        <v>228346</v>
      </c>
      <c r="M47" s="248">
        <f>'2.a tábla ÚJ '!Q25</f>
        <v>0</v>
      </c>
      <c r="N47" s="349">
        <f t="shared" si="30"/>
        <v>8553346</v>
      </c>
      <c r="O47" s="79">
        <f t="shared" si="31"/>
        <v>8553346</v>
      </c>
      <c r="P47" s="79">
        <f t="shared" si="31"/>
        <v>8553346</v>
      </c>
      <c r="Q47" s="339">
        <f t="shared" si="32"/>
        <v>0</v>
      </c>
      <c r="R47" s="306"/>
    </row>
    <row r="48" spans="1:18" s="26" customFormat="1" ht="22.7" customHeight="1" x14ac:dyDescent="0.2">
      <c r="A48" s="610" t="s">
        <v>438</v>
      </c>
      <c r="B48" s="349">
        <v>22235544</v>
      </c>
      <c r="C48" s="79">
        <v>22235544</v>
      </c>
      <c r="D48" s="79">
        <v>22235544</v>
      </c>
      <c r="E48" s="339">
        <f t="shared" si="47"/>
        <v>0</v>
      </c>
      <c r="F48" s="349"/>
      <c r="G48" s="248"/>
      <c r="H48" s="248"/>
      <c r="I48" s="339"/>
      <c r="J48" s="584">
        <v>0</v>
      </c>
      <c r="K48" s="248">
        <v>0</v>
      </c>
      <c r="L48" s="248">
        <v>0</v>
      </c>
      <c r="M48" s="248">
        <f>L48-K48</f>
        <v>0</v>
      </c>
      <c r="N48" s="349">
        <f t="shared" si="30"/>
        <v>22235544</v>
      </c>
      <c r="O48" s="79">
        <f t="shared" si="31"/>
        <v>22235544</v>
      </c>
      <c r="P48" s="79">
        <f t="shared" si="31"/>
        <v>22235544</v>
      </c>
      <c r="Q48" s="339">
        <f t="shared" si="32"/>
        <v>0</v>
      </c>
      <c r="R48" s="306"/>
    </row>
    <row r="49" spans="1:18" s="26" customFormat="1" ht="20.25" customHeight="1" x14ac:dyDescent="0.2">
      <c r="A49" s="613" t="s">
        <v>356</v>
      </c>
      <c r="B49" s="349">
        <v>6235544</v>
      </c>
      <c r="C49" s="79">
        <v>6235544</v>
      </c>
      <c r="D49" s="79">
        <v>6235544</v>
      </c>
      <c r="E49" s="339">
        <f t="shared" si="47"/>
        <v>0</v>
      </c>
      <c r="F49" s="349"/>
      <c r="G49" s="248"/>
      <c r="H49" s="248"/>
      <c r="I49" s="339"/>
      <c r="J49" s="584"/>
      <c r="K49" s="248"/>
      <c r="L49" s="248"/>
      <c r="M49" s="248"/>
      <c r="N49" s="349">
        <f t="shared" si="30"/>
        <v>6235544</v>
      </c>
      <c r="O49" s="79">
        <f t="shared" si="31"/>
        <v>6235544</v>
      </c>
      <c r="P49" s="79">
        <f t="shared" si="31"/>
        <v>6235544</v>
      </c>
      <c r="Q49" s="339">
        <f t="shared" si="32"/>
        <v>0</v>
      </c>
      <c r="R49" s="306"/>
    </row>
    <row r="50" spans="1:18" s="26" customFormat="1" ht="24.75" customHeight="1" x14ac:dyDescent="0.2">
      <c r="A50" s="613" t="s">
        <v>439</v>
      </c>
      <c r="B50" s="349">
        <v>16000000</v>
      </c>
      <c r="C50" s="79">
        <v>16000000</v>
      </c>
      <c r="D50" s="79">
        <v>16000000</v>
      </c>
      <c r="E50" s="339">
        <f t="shared" si="47"/>
        <v>0</v>
      </c>
      <c r="F50" s="349"/>
      <c r="G50" s="248"/>
      <c r="H50" s="248"/>
      <c r="I50" s="339"/>
      <c r="J50" s="584">
        <v>0</v>
      </c>
      <c r="K50" s="248">
        <v>0</v>
      </c>
      <c r="L50" s="248">
        <v>0</v>
      </c>
      <c r="M50" s="248">
        <f>L50-K50</f>
        <v>0</v>
      </c>
      <c r="N50" s="349">
        <f t="shared" si="30"/>
        <v>16000000</v>
      </c>
      <c r="O50" s="79">
        <f t="shared" si="31"/>
        <v>16000000</v>
      </c>
      <c r="P50" s="79">
        <f t="shared" si="31"/>
        <v>16000000</v>
      </c>
      <c r="Q50" s="339">
        <f t="shared" si="32"/>
        <v>0</v>
      </c>
      <c r="R50" s="306"/>
    </row>
    <row r="51" spans="1:18" s="26" customFormat="1" ht="19.5" customHeight="1" x14ac:dyDescent="0.2">
      <c r="A51" s="613" t="s">
        <v>440</v>
      </c>
      <c r="B51" s="349">
        <v>33915588</v>
      </c>
      <c r="C51" s="79">
        <v>20295198</v>
      </c>
      <c r="D51" s="79">
        <v>20295198</v>
      </c>
      <c r="E51" s="339">
        <f t="shared" si="47"/>
        <v>0</v>
      </c>
      <c r="F51" s="349"/>
      <c r="G51" s="248"/>
      <c r="H51" s="248"/>
      <c r="I51" s="339"/>
      <c r="J51" s="584">
        <f>'2.a tábla ÚJ '!N27</f>
        <v>1216215</v>
      </c>
      <c r="K51" s="248">
        <f>'2.a tábla ÚJ '!O27</f>
        <v>1216215</v>
      </c>
      <c r="L51" s="248">
        <f>'2.a tábla ÚJ '!P27</f>
        <v>1216215</v>
      </c>
      <c r="M51" s="248">
        <f>'2.a tábla ÚJ '!Q27</f>
        <v>0</v>
      </c>
      <c r="N51" s="349">
        <f t="shared" si="30"/>
        <v>35131803</v>
      </c>
      <c r="O51" s="79">
        <f t="shared" si="31"/>
        <v>21511413</v>
      </c>
      <c r="P51" s="79">
        <f t="shared" si="31"/>
        <v>21511413</v>
      </c>
      <c r="Q51" s="339">
        <f t="shared" si="32"/>
        <v>0</v>
      </c>
      <c r="R51" s="306"/>
    </row>
    <row r="52" spans="1:18" s="26" customFormat="1" ht="22.7" customHeight="1" x14ac:dyDescent="0.2">
      <c r="A52" s="611" t="s">
        <v>441</v>
      </c>
      <c r="B52" s="349">
        <v>165289733</v>
      </c>
      <c r="C52" s="79">
        <v>161612228</v>
      </c>
      <c r="D52" s="79">
        <v>128402228</v>
      </c>
      <c r="E52" s="339">
        <f t="shared" si="47"/>
        <v>-33210000</v>
      </c>
      <c r="F52" s="349">
        <f>'2.a tábla ÚJ '!S28</f>
        <v>5985443</v>
      </c>
      <c r="G52" s="79">
        <f>'2.a tábla ÚJ '!T28</f>
        <v>5985443</v>
      </c>
      <c r="H52" s="79">
        <f>'2.a tábla ÚJ '!U28</f>
        <v>5784750</v>
      </c>
      <c r="I52" s="339">
        <f>'2.a tábla ÚJ '!V28</f>
        <v>-200693</v>
      </c>
      <c r="J52" s="584">
        <f>'2.a tábla ÚJ '!N28</f>
        <v>929819</v>
      </c>
      <c r="K52" s="248">
        <f>'2.a tábla ÚJ '!O28</f>
        <v>815016</v>
      </c>
      <c r="L52" s="248">
        <f>'2.a tábla ÚJ '!P28</f>
        <v>815016</v>
      </c>
      <c r="M52" s="248">
        <f>'2.a tábla ÚJ '!Q28</f>
        <v>0</v>
      </c>
      <c r="N52" s="349">
        <f t="shared" si="30"/>
        <v>172204995</v>
      </c>
      <c r="O52" s="79">
        <f t="shared" si="31"/>
        <v>168412687</v>
      </c>
      <c r="P52" s="79">
        <f t="shared" si="31"/>
        <v>135001994</v>
      </c>
      <c r="Q52" s="339">
        <f t="shared" si="32"/>
        <v>-33410693</v>
      </c>
      <c r="R52" s="306"/>
    </row>
    <row r="53" spans="1:18" s="26" customFormat="1" ht="20.25" customHeight="1" x14ac:dyDescent="0.2">
      <c r="A53" s="611" t="s">
        <v>442</v>
      </c>
      <c r="B53" s="349">
        <v>160353154</v>
      </c>
      <c r="C53" s="79">
        <v>162974887</v>
      </c>
      <c r="D53" s="79">
        <v>259947095</v>
      </c>
      <c r="E53" s="339">
        <f t="shared" si="47"/>
        <v>96972208</v>
      </c>
      <c r="F53" s="349"/>
      <c r="G53" s="415"/>
      <c r="H53" s="415"/>
      <c r="I53" s="705"/>
      <c r="J53" s="584">
        <f>'2.a tábla ÚJ '!N29</f>
        <v>650000</v>
      </c>
      <c r="K53" s="248">
        <f>'2.a tábla ÚJ '!O29</f>
        <v>380000</v>
      </c>
      <c r="L53" s="248">
        <f>'2.a tábla ÚJ '!P29</f>
        <v>380000</v>
      </c>
      <c r="M53" s="248">
        <f>'2.a tábla ÚJ '!Q29</f>
        <v>0</v>
      </c>
      <c r="N53" s="349">
        <f t="shared" si="30"/>
        <v>161003154</v>
      </c>
      <c r="O53" s="79">
        <f t="shared" si="31"/>
        <v>163354887</v>
      </c>
      <c r="P53" s="79">
        <f t="shared" si="31"/>
        <v>260327095</v>
      </c>
      <c r="Q53" s="339">
        <f t="shared" si="32"/>
        <v>96972208</v>
      </c>
      <c r="R53" s="306"/>
    </row>
    <row r="54" spans="1:18" s="26" customFormat="1" ht="15" customHeight="1" x14ac:dyDescent="0.2">
      <c r="A54" s="611" t="s">
        <v>443</v>
      </c>
      <c r="B54" s="349">
        <v>30000000</v>
      </c>
      <c r="C54" s="79">
        <v>30000000</v>
      </c>
      <c r="D54" s="79">
        <v>30000000</v>
      </c>
      <c r="E54" s="339">
        <f t="shared" si="47"/>
        <v>0</v>
      </c>
      <c r="F54" s="84"/>
      <c r="G54" s="415"/>
      <c r="H54" s="415"/>
      <c r="I54" s="705"/>
      <c r="J54" s="584">
        <v>0</v>
      </c>
      <c r="K54" s="248">
        <v>0</v>
      </c>
      <c r="L54" s="248">
        <v>0</v>
      </c>
      <c r="M54" s="248">
        <f>L54-K54</f>
        <v>0</v>
      </c>
      <c r="N54" s="349">
        <f t="shared" si="30"/>
        <v>30000000</v>
      </c>
      <c r="O54" s="79">
        <f t="shared" si="31"/>
        <v>30000000</v>
      </c>
      <c r="P54" s="79">
        <f t="shared" si="31"/>
        <v>30000000</v>
      </c>
      <c r="Q54" s="339">
        <f t="shared" si="32"/>
        <v>0</v>
      </c>
      <c r="R54" s="306"/>
    </row>
    <row r="55" spans="1:18" s="26" customFormat="1" ht="26.45" customHeight="1" x14ac:dyDescent="0.2">
      <c r="A55" s="611" t="s">
        <v>362</v>
      </c>
      <c r="B55" s="349"/>
      <c r="C55" s="248"/>
      <c r="D55" s="248"/>
      <c r="E55" s="339">
        <f t="shared" si="47"/>
        <v>0</v>
      </c>
      <c r="F55" s="84"/>
      <c r="G55" s="415"/>
      <c r="H55" s="415"/>
      <c r="I55" s="705"/>
      <c r="J55" s="584">
        <f>'[3]2.a tábla ÚJ '!K31</f>
        <v>0</v>
      </c>
      <c r="K55" s="248"/>
      <c r="L55" s="248"/>
      <c r="M55" s="248"/>
      <c r="N55" s="349">
        <f t="shared" si="30"/>
        <v>0</v>
      </c>
      <c r="O55" s="79">
        <f t="shared" si="31"/>
        <v>0</v>
      </c>
      <c r="P55" s="79">
        <f t="shared" si="31"/>
        <v>0</v>
      </c>
      <c r="Q55" s="339">
        <f t="shared" si="32"/>
        <v>0</v>
      </c>
      <c r="R55" s="306"/>
    </row>
    <row r="56" spans="1:18" s="26" customFormat="1" ht="26.45" customHeight="1" x14ac:dyDescent="0.2">
      <c r="A56" s="611" t="s">
        <v>360</v>
      </c>
      <c r="B56" s="349">
        <v>0</v>
      </c>
      <c r="C56" s="248"/>
      <c r="D56" s="248"/>
      <c r="E56" s="339">
        <f t="shared" si="47"/>
        <v>0</v>
      </c>
      <c r="F56" s="84"/>
      <c r="G56" s="415"/>
      <c r="H56" s="415"/>
      <c r="I56" s="705"/>
      <c r="J56" s="584">
        <f>'[3]2.a tábla ÚJ '!K32</f>
        <v>0</v>
      </c>
      <c r="K56" s="248"/>
      <c r="L56" s="248"/>
      <c r="M56" s="248"/>
      <c r="N56" s="349">
        <f t="shared" si="30"/>
        <v>0</v>
      </c>
      <c r="O56" s="79">
        <f t="shared" si="31"/>
        <v>0</v>
      </c>
      <c r="P56" s="79">
        <f t="shared" si="31"/>
        <v>0</v>
      </c>
      <c r="Q56" s="339">
        <f t="shared" si="32"/>
        <v>0</v>
      </c>
      <c r="R56" s="306"/>
    </row>
    <row r="57" spans="1:18" s="26" customFormat="1" ht="25.5" x14ac:dyDescent="0.2">
      <c r="A57" s="613" t="s">
        <v>361</v>
      </c>
      <c r="B57" s="349">
        <v>3129923</v>
      </c>
      <c r="C57" s="248">
        <v>3129923</v>
      </c>
      <c r="D57" s="248">
        <v>3129923</v>
      </c>
      <c r="E57" s="339">
        <f t="shared" si="47"/>
        <v>0</v>
      </c>
      <c r="F57" s="84"/>
      <c r="G57" s="415"/>
      <c r="H57" s="415"/>
      <c r="I57" s="705"/>
      <c r="J57" s="584">
        <f>'2.a tábla ÚJ '!N33</f>
        <v>20000</v>
      </c>
      <c r="K57" s="248">
        <f>'2.a tábla ÚJ '!O33</f>
        <v>20000</v>
      </c>
      <c r="L57" s="248">
        <f>'2.a tábla ÚJ '!P33</f>
        <v>20000</v>
      </c>
      <c r="M57" s="248">
        <f>'2.a tábla ÚJ '!Q33</f>
        <v>0</v>
      </c>
      <c r="N57" s="349">
        <f t="shared" si="30"/>
        <v>3149923</v>
      </c>
      <c r="O57" s="79">
        <f t="shared" si="31"/>
        <v>3149923</v>
      </c>
      <c r="P57" s="79">
        <f t="shared" si="31"/>
        <v>3149923</v>
      </c>
      <c r="Q57" s="339">
        <f t="shared" si="32"/>
        <v>0</v>
      </c>
      <c r="R57" s="306"/>
    </row>
    <row r="58" spans="1:18" s="24" customFormat="1" ht="25.5" customHeight="1" x14ac:dyDescent="0.2">
      <c r="A58" s="612" t="s">
        <v>378</v>
      </c>
      <c r="B58" s="83">
        <f t="shared" ref="B58:E58" si="48">SUM(B59:B63)</f>
        <v>269453434</v>
      </c>
      <c r="C58" s="78">
        <f t="shared" ref="C58" si="49">SUM(C59:C63)</f>
        <v>269453434</v>
      </c>
      <c r="D58" s="78">
        <f t="shared" ref="D58" si="50">SUM(D59:D63)</f>
        <v>269453434</v>
      </c>
      <c r="E58" s="338">
        <f t="shared" si="48"/>
        <v>0</v>
      </c>
      <c r="F58" s="83">
        <f t="shared" ref="F58:H58" si="51">SUM(F59:F63)</f>
        <v>743307</v>
      </c>
      <c r="G58" s="78">
        <f t="shared" ref="G58" si="52">SUM(G59:G63)</f>
        <v>743307</v>
      </c>
      <c r="H58" s="78">
        <f t="shared" si="51"/>
        <v>1070000</v>
      </c>
      <c r="I58" s="338">
        <f t="shared" ref="I58:Q58" si="53">SUM(I59:I63)</f>
        <v>326693</v>
      </c>
      <c r="J58" s="585">
        <f t="shared" ref="J58:M58" si="54">SUM(J59:J63)</f>
        <v>0</v>
      </c>
      <c r="K58" s="249">
        <f t="shared" si="54"/>
        <v>0</v>
      </c>
      <c r="L58" s="249">
        <f t="shared" ref="L58" si="55">SUM(L59:L63)</f>
        <v>0</v>
      </c>
      <c r="M58" s="249">
        <f t="shared" si="54"/>
        <v>0</v>
      </c>
      <c r="N58" s="412">
        <f t="shared" si="53"/>
        <v>270196741</v>
      </c>
      <c r="O58" s="78">
        <f t="shared" ref="O58" si="56">SUM(O59:O63)</f>
        <v>270196741</v>
      </c>
      <c r="P58" s="78">
        <f t="shared" si="53"/>
        <v>270523434</v>
      </c>
      <c r="Q58" s="338">
        <f t="shared" si="53"/>
        <v>326693</v>
      </c>
      <c r="R58" s="304"/>
    </row>
    <row r="59" spans="1:18" s="24" customFormat="1" ht="27.75" customHeight="1" x14ac:dyDescent="0.2">
      <c r="A59" s="610" t="s">
        <v>444</v>
      </c>
      <c r="B59" s="84"/>
      <c r="C59" s="248"/>
      <c r="D59" s="248"/>
      <c r="E59" s="339"/>
      <c r="F59" s="629"/>
      <c r="G59" s="415"/>
      <c r="H59" s="415"/>
      <c r="I59" s="705"/>
      <c r="J59" s="586"/>
      <c r="K59" s="415"/>
      <c r="L59" s="415"/>
      <c r="M59" s="415"/>
      <c r="N59" s="412"/>
      <c r="O59" s="249"/>
      <c r="P59" s="249"/>
      <c r="Q59" s="338"/>
      <c r="R59" s="304"/>
    </row>
    <row r="60" spans="1:18" s="26" customFormat="1" ht="14.25" customHeight="1" x14ac:dyDescent="0.2">
      <c r="A60" s="610" t="s">
        <v>445</v>
      </c>
      <c r="B60" s="84">
        <v>269453434</v>
      </c>
      <c r="C60" s="248">
        <v>269453434</v>
      </c>
      <c r="D60" s="248">
        <v>269453434</v>
      </c>
      <c r="E60" s="339">
        <f>D60-C60</f>
        <v>0</v>
      </c>
      <c r="F60" s="629"/>
      <c r="G60" s="415"/>
      <c r="H60" s="415"/>
      <c r="I60" s="705"/>
      <c r="J60" s="586"/>
      <c r="K60" s="415"/>
      <c r="L60" s="415"/>
      <c r="M60" s="415"/>
      <c r="N60" s="349">
        <f t="shared" ref="N60:P63" si="57">B60+J60+F60</f>
        <v>269453434</v>
      </c>
      <c r="O60" s="79">
        <f t="shared" si="57"/>
        <v>269453434</v>
      </c>
      <c r="P60" s="79">
        <f t="shared" si="57"/>
        <v>269453434</v>
      </c>
      <c r="Q60" s="339">
        <f t="shared" ref="Q60:Q63" si="58">E60+M60+I60</f>
        <v>0</v>
      </c>
      <c r="R60" s="306"/>
    </row>
    <row r="61" spans="1:18" s="26" customFormat="1" ht="27" customHeight="1" x14ac:dyDescent="0.2">
      <c r="A61" s="614" t="s">
        <v>446</v>
      </c>
      <c r="B61" s="84"/>
      <c r="C61" s="248"/>
      <c r="D61" s="248"/>
      <c r="E61" s="339"/>
      <c r="F61" s="716">
        <f>'2.a tábla ÚJ '!S37</f>
        <v>743307</v>
      </c>
      <c r="G61" s="416">
        <f>'2.a tábla ÚJ '!T37</f>
        <v>743307</v>
      </c>
      <c r="H61" s="416">
        <f>'2.a tábla ÚJ '!U37</f>
        <v>1070000</v>
      </c>
      <c r="I61" s="705">
        <f>'2.a tábla ÚJ '!V37</f>
        <v>326693</v>
      </c>
      <c r="J61" s="586">
        <f>'2.a tábla ÚJ '!N37</f>
        <v>0</v>
      </c>
      <c r="K61" s="415">
        <f>'2.a tábla ÚJ '!O37</f>
        <v>0</v>
      </c>
      <c r="L61" s="415">
        <f>'2.a tábla ÚJ '!P37</f>
        <v>0</v>
      </c>
      <c r="M61" s="415">
        <f>'2.a tábla ÚJ '!Q37</f>
        <v>0</v>
      </c>
      <c r="N61" s="349">
        <f t="shared" si="57"/>
        <v>743307</v>
      </c>
      <c r="O61" s="79">
        <f t="shared" si="57"/>
        <v>743307</v>
      </c>
      <c r="P61" s="79">
        <f t="shared" si="57"/>
        <v>1070000</v>
      </c>
      <c r="Q61" s="339">
        <f t="shared" si="58"/>
        <v>326693</v>
      </c>
      <c r="R61" s="306"/>
    </row>
    <row r="62" spans="1:18" s="26" customFormat="1" ht="23.25" customHeight="1" x14ac:dyDescent="0.2">
      <c r="A62" s="610" t="s">
        <v>447</v>
      </c>
      <c r="B62" s="84"/>
      <c r="C62" s="248"/>
      <c r="D62" s="248"/>
      <c r="E62" s="339"/>
      <c r="F62" s="84"/>
      <c r="G62" s="415"/>
      <c r="H62" s="415"/>
      <c r="I62" s="705"/>
      <c r="J62" s="584"/>
      <c r="K62" s="415"/>
      <c r="L62" s="415"/>
      <c r="M62" s="415"/>
      <c r="N62" s="349">
        <f t="shared" si="57"/>
        <v>0</v>
      </c>
      <c r="O62" s="79">
        <f t="shared" si="57"/>
        <v>0</v>
      </c>
      <c r="P62" s="79">
        <f t="shared" si="57"/>
        <v>0</v>
      </c>
      <c r="Q62" s="339">
        <f t="shared" si="58"/>
        <v>0</v>
      </c>
      <c r="R62" s="306"/>
    </row>
    <row r="63" spans="1:18" s="26" customFormat="1" ht="39" thickBot="1" x14ac:dyDescent="0.25">
      <c r="A63" s="615" t="s">
        <v>448</v>
      </c>
      <c r="B63" s="496"/>
      <c r="C63" s="413"/>
      <c r="D63" s="413"/>
      <c r="E63" s="340"/>
      <c r="F63" s="496"/>
      <c r="G63" s="582"/>
      <c r="H63" s="582"/>
      <c r="I63" s="717"/>
      <c r="J63" s="714"/>
      <c r="K63" s="582"/>
      <c r="L63" s="582"/>
      <c r="M63" s="582"/>
      <c r="N63" s="414">
        <f t="shared" si="57"/>
        <v>0</v>
      </c>
      <c r="O63" s="300">
        <f t="shared" si="57"/>
        <v>0</v>
      </c>
      <c r="P63" s="300">
        <f t="shared" si="57"/>
        <v>0</v>
      </c>
      <c r="Q63" s="340">
        <f t="shared" si="58"/>
        <v>0</v>
      </c>
      <c r="R63" s="306"/>
    </row>
    <row r="64" spans="1:18" s="26" customFormat="1" ht="28.5" customHeight="1" thickBot="1" x14ac:dyDescent="0.25">
      <c r="A64" s="484" t="s">
        <v>302</v>
      </c>
      <c r="B64" s="1904" t="s">
        <v>408</v>
      </c>
      <c r="C64" s="1905"/>
      <c r="D64" s="1905"/>
      <c r="E64" s="1905"/>
      <c r="F64" s="1904" t="s">
        <v>200</v>
      </c>
      <c r="G64" s="1905"/>
      <c r="H64" s="1905"/>
      <c r="I64" s="1906"/>
      <c r="J64" s="1907" t="s">
        <v>409</v>
      </c>
      <c r="K64" s="1908"/>
      <c r="L64" s="1908"/>
      <c r="M64" s="1908"/>
      <c r="N64" s="1909" t="s">
        <v>410</v>
      </c>
      <c r="O64" s="1908"/>
      <c r="P64" s="1908"/>
      <c r="Q64" s="1910"/>
      <c r="R64" s="306"/>
    </row>
    <row r="65" spans="1:20" s="26" customFormat="1" ht="47.25" customHeight="1" thickBot="1" x14ac:dyDescent="0.25">
      <c r="A65" s="174"/>
      <c r="B65" s="556" t="s">
        <v>660</v>
      </c>
      <c r="C65" s="390" t="s">
        <v>1021</v>
      </c>
      <c r="D65" s="390" t="s">
        <v>1111</v>
      </c>
      <c r="E65" s="391" t="s">
        <v>987</v>
      </c>
      <c r="F65" s="556" t="s">
        <v>660</v>
      </c>
      <c r="G65" s="390" t="s">
        <v>1021</v>
      </c>
      <c r="H65" s="390" t="s">
        <v>1111</v>
      </c>
      <c r="I65" s="391" t="s">
        <v>987</v>
      </c>
      <c r="J65" s="556" t="s">
        <v>660</v>
      </c>
      <c r="K65" s="390" t="s">
        <v>1021</v>
      </c>
      <c r="L65" s="390" t="s">
        <v>1111</v>
      </c>
      <c r="M65" s="391" t="s">
        <v>987</v>
      </c>
      <c r="N65" s="556" t="s">
        <v>660</v>
      </c>
      <c r="O65" s="390" t="s">
        <v>1021</v>
      </c>
      <c r="P65" s="390" t="s">
        <v>1111</v>
      </c>
      <c r="Q65" s="391" t="s">
        <v>987</v>
      </c>
      <c r="R65" s="306"/>
    </row>
    <row r="66" spans="1:20" s="24" customFormat="1" ht="24.75" customHeight="1" x14ac:dyDescent="0.2">
      <c r="A66" s="609" t="s">
        <v>379</v>
      </c>
      <c r="B66" s="211">
        <f t="shared" ref="B66:E66" si="59">SUM(B67:B69)</f>
        <v>3000000</v>
      </c>
      <c r="C66" s="186">
        <f t="shared" si="59"/>
        <v>3720754</v>
      </c>
      <c r="D66" s="186">
        <f t="shared" ref="D66" si="60">SUM(D67:D69)</f>
        <v>19720754</v>
      </c>
      <c r="E66" s="348">
        <f t="shared" si="59"/>
        <v>16000000</v>
      </c>
      <c r="F66" s="211">
        <f t="shared" ref="F66:H66" si="61">SUM(F67:F69)</f>
        <v>0</v>
      </c>
      <c r="G66" s="186">
        <f t="shared" ref="G66" si="62">SUM(G67:G69)</f>
        <v>0</v>
      </c>
      <c r="H66" s="186">
        <f t="shared" si="61"/>
        <v>0</v>
      </c>
      <c r="I66" s="348">
        <f t="shared" ref="I66:Q66" si="63">SUM(I67:I69)</f>
        <v>0</v>
      </c>
      <c r="J66" s="708">
        <f t="shared" ref="J66:L66" si="64">SUM(J67:J69)</f>
        <v>0</v>
      </c>
      <c r="K66" s="186">
        <f t="shared" ref="K66" si="65">SUM(K67:K69)</f>
        <v>0</v>
      </c>
      <c r="L66" s="186">
        <f t="shared" si="64"/>
        <v>0</v>
      </c>
      <c r="M66" s="186">
        <f t="shared" si="63"/>
        <v>0</v>
      </c>
      <c r="N66" s="211">
        <f t="shared" si="63"/>
        <v>3000000</v>
      </c>
      <c r="O66" s="186">
        <f t="shared" ref="O66" si="66">SUM(O67:O69)</f>
        <v>3720754</v>
      </c>
      <c r="P66" s="186">
        <f t="shared" si="63"/>
        <v>19720754</v>
      </c>
      <c r="Q66" s="348">
        <f t="shared" si="63"/>
        <v>16000000</v>
      </c>
      <c r="R66" s="304"/>
    </row>
    <row r="67" spans="1:20" s="24" customFormat="1" ht="34.5" customHeight="1" x14ac:dyDescent="0.2">
      <c r="A67" s="610" t="s">
        <v>24</v>
      </c>
      <c r="B67" s="629"/>
      <c r="C67" s="415"/>
      <c r="D67" s="415"/>
      <c r="E67" s="705"/>
      <c r="F67" s="629"/>
      <c r="G67" s="415"/>
      <c r="H67" s="415"/>
      <c r="I67" s="705"/>
      <c r="J67" s="586"/>
      <c r="K67" s="415"/>
      <c r="L67" s="415"/>
      <c r="M67" s="415"/>
      <c r="N67" s="84">
        <f t="shared" ref="N67:P68" si="67">B67+F67+J67</f>
        <v>0</v>
      </c>
      <c r="O67" s="79">
        <f t="shared" si="67"/>
        <v>0</v>
      </c>
      <c r="P67" s="79">
        <f t="shared" si="67"/>
        <v>0</v>
      </c>
      <c r="Q67" s="339">
        <f t="shared" ref="Q67:Q68" si="68">E67+I67+M67</f>
        <v>0</v>
      </c>
      <c r="R67" s="304"/>
    </row>
    <row r="68" spans="1:20" s="26" customFormat="1" ht="60" customHeight="1" x14ac:dyDescent="0.2">
      <c r="A68" s="610" t="s">
        <v>25</v>
      </c>
      <c r="B68" s="84">
        <v>3000000</v>
      </c>
      <c r="C68" s="248">
        <v>3000000</v>
      </c>
      <c r="D68" s="248">
        <v>19000000</v>
      </c>
      <c r="E68" s="339">
        <f>D68-C68</f>
        <v>16000000</v>
      </c>
      <c r="F68" s="84"/>
      <c r="G68" s="415"/>
      <c r="H68" s="415"/>
      <c r="I68" s="705"/>
      <c r="J68" s="584"/>
      <c r="K68" s="415"/>
      <c r="L68" s="415"/>
      <c r="M68" s="415"/>
      <c r="N68" s="84">
        <f t="shared" si="67"/>
        <v>3000000</v>
      </c>
      <c r="O68" s="79">
        <f t="shared" si="67"/>
        <v>3000000</v>
      </c>
      <c r="P68" s="79">
        <f t="shared" si="67"/>
        <v>19000000</v>
      </c>
      <c r="Q68" s="339">
        <f t="shared" si="68"/>
        <v>16000000</v>
      </c>
      <c r="R68" s="307"/>
    </row>
    <row r="69" spans="1:20" s="26" customFormat="1" ht="27" customHeight="1" x14ac:dyDescent="0.2">
      <c r="A69" s="610" t="s">
        <v>26</v>
      </c>
      <c r="B69" s="84">
        <v>0</v>
      </c>
      <c r="C69" s="248">
        <v>720754</v>
      </c>
      <c r="D69" s="248">
        <v>720754</v>
      </c>
      <c r="E69" s="339">
        <f>D69-C69</f>
        <v>0</v>
      </c>
      <c r="F69" s="84"/>
      <c r="G69" s="415"/>
      <c r="H69" s="415"/>
      <c r="I69" s="705"/>
      <c r="J69" s="586">
        <f>'2.a tábla ÚJ '!N41</f>
        <v>0</v>
      </c>
      <c r="K69" s="415">
        <f>'2.a tábla ÚJ '!O41</f>
        <v>0</v>
      </c>
      <c r="L69" s="415">
        <f>'2.a tábla ÚJ '!P41</f>
        <v>0</v>
      </c>
      <c r="M69" s="415">
        <f>'2.a tábla ÚJ '!Q41</f>
        <v>0</v>
      </c>
      <c r="N69" s="84">
        <f>SUM(B69+F69+J69)</f>
        <v>0</v>
      </c>
      <c r="O69" s="79">
        <f>SUM(C69+G69+K69)</f>
        <v>720754</v>
      </c>
      <c r="P69" s="79">
        <f>SUM(D69+H69+L69)</f>
        <v>720754</v>
      </c>
      <c r="Q69" s="339">
        <f>SUM(E69+I69+M69)</f>
        <v>0</v>
      </c>
      <c r="R69" s="306"/>
    </row>
    <row r="70" spans="1:20" s="24" customFormat="1" ht="22.7" customHeight="1" x14ac:dyDescent="0.2">
      <c r="A70" s="625" t="s">
        <v>380</v>
      </c>
      <c r="B70" s="83">
        <f t="shared" ref="B70:E70" si="69">SUM(B71:B73)</f>
        <v>227000542</v>
      </c>
      <c r="C70" s="78">
        <f t="shared" ref="C70" si="70">SUM(C71:C73)</f>
        <v>227000542</v>
      </c>
      <c r="D70" s="78">
        <f t="shared" ref="D70" si="71">SUM(D71:D73)</f>
        <v>223000542</v>
      </c>
      <c r="E70" s="338">
        <f t="shared" si="69"/>
        <v>-4000000</v>
      </c>
      <c r="F70" s="83">
        <f t="shared" ref="F70:H70" si="72">SUM(F71:F73)</f>
        <v>0</v>
      </c>
      <c r="G70" s="78">
        <f t="shared" ref="G70" si="73">SUM(G71:G73)</f>
        <v>0</v>
      </c>
      <c r="H70" s="78">
        <f t="shared" si="72"/>
        <v>0</v>
      </c>
      <c r="I70" s="338">
        <f t="shared" ref="I70" si="74">SUM(I71:I73)</f>
        <v>0</v>
      </c>
      <c r="J70" s="585"/>
      <c r="K70" s="249"/>
      <c r="L70" s="249"/>
      <c r="M70" s="249"/>
      <c r="N70" s="412">
        <f>SUM(N71:N73)</f>
        <v>227000542</v>
      </c>
      <c r="O70" s="78">
        <f>SUM(O71:O73)</f>
        <v>227000542</v>
      </c>
      <c r="P70" s="78">
        <f>SUM(P71:P73)</f>
        <v>223000542</v>
      </c>
      <c r="Q70" s="338">
        <f>SUM(Q71:Q73)</f>
        <v>-4000000</v>
      </c>
      <c r="R70" s="308"/>
    </row>
    <row r="71" spans="1:20" s="26" customFormat="1" ht="59.25" customHeight="1" x14ac:dyDescent="0.2">
      <c r="A71" s="610" t="s">
        <v>27</v>
      </c>
      <c r="B71" s="629"/>
      <c r="C71" s="415"/>
      <c r="D71" s="415"/>
      <c r="E71" s="705"/>
      <c r="F71" s="629"/>
      <c r="G71" s="415"/>
      <c r="H71" s="415"/>
      <c r="I71" s="705"/>
      <c r="J71" s="586"/>
      <c r="K71" s="415"/>
      <c r="L71" s="415"/>
      <c r="M71" s="415"/>
      <c r="N71" s="84">
        <f t="shared" ref="N71:P73" si="75">B71+F71+J71</f>
        <v>0</v>
      </c>
      <c r="O71" s="79">
        <f t="shared" si="75"/>
        <v>0</v>
      </c>
      <c r="P71" s="79">
        <f t="shared" si="75"/>
        <v>0</v>
      </c>
      <c r="Q71" s="339">
        <f t="shared" ref="Q71:Q73" si="76">E71+I71+M71</f>
        <v>0</v>
      </c>
      <c r="R71" s="306"/>
    </row>
    <row r="72" spans="1:20" s="26" customFormat="1" ht="64.5" customHeight="1" x14ac:dyDescent="0.2">
      <c r="A72" s="610" t="s">
        <v>28</v>
      </c>
      <c r="B72" s="84">
        <v>227000542</v>
      </c>
      <c r="C72" s="248">
        <v>227000542</v>
      </c>
      <c r="D72" s="248">
        <v>211000542</v>
      </c>
      <c r="E72" s="339">
        <f>D72-C72</f>
        <v>-16000000</v>
      </c>
      <c r="F72" s="84"/>
      <c r="G72" s="415"/>
      <c r="H72" s="415"/>
      <c r="I72" s="705"/>
      <c r="J72" s="584"/>
      <c r="K72" s="415"/>
      <c r="L72" s="415"/>
      <c r="M72" s="415"/>
      <c r="N72" s="84">
        <f t="shared" si="75"/>
        <v>227000542</v>
      </c>
      <c r="O72" s="79">
        <f t="shared" si="75"/>
        <v>227000542</v>
      </c>
      <c r="P72" s="79">
        <f t="shared" si="75"/>
        <v>211000542</v>
      </c>
      <c r="Q72" s="339">
        <f t="shared" si="76"/>
        <v>-16000000</v>
      </c>
      <c r="R72" s="306"/>
    </row>
    <row r="73" spans="1:20" s="26" customFormat="1" ht="24.75" customHeight="1" x14ac:dyDescent="0.2">
      <c r="A73" s="610" t="s">
        <v>29</v>
      </c>
      <c r="B73" s="84"/>
      <c r="C73" s="248"/>
      <c r="D73" s="248">
        <v>12000000</v>
      </c>
      <c r="E73" s="339">
        <f>D73-C73</f>
        <v>12000000</v>
      </c>
      <c r="F73" s="84"/>
      <c r="G73" s="415"/>
      <c r="H73" s="415"/>
      <c r="I73" s="705"/>
      <c r="J73" s="586"/>
      <c r="K73" s="415"/>
      <c r="L73" s="415"/>
      <c r="M73" s="415"/>
      <c r="N73" s="84">
        <f t="shared" si="75"/>
        <v>0</v>
      </c>
      <c r="O73" s="79">
        <f t="shared" si="75"/>
        <v>0</v>
      </c>
      <c r="P73" s="79">
        <f t="shared" si="75"/>
        <v>12000000</v>
      </c>
      <c r="Q73" s="339">
        <f t="shared" si="76"/>
        <v>12000000</v>
      </c>
      <c r="R73" s="306"/>
    </row>
    <row r="74" spans="1:20" s="24" customFormat="1" ht="24.75" customHeight="1" x14ac:dyDescent="0.2">
      <c r="A74" s="612" t="s">
        <v>381</v>
      </c>
      <c r="B74" s="83">
        <f t="shared" ref="B74:E74" si="77">B70+B66+B58+B43+B30+B22+B7</f>
        <v>9419612974</v>
      </c>
      <c r="C74" s="78">
        <f t="shared" si="77"/>
        <v>11105843568</v>
      </c>
      <c r="D74" s="78">
        <f t="shared" ref="D74" si="78">D70+D66+D58+D43+D30+D22+D7</f>
        <v>10687829818</v>
      </c>
      <c r="E74" s="338">
        <f t="shared" si="77"/>
        <v>-418013750</v>
      </c>
      <c r="F74" s="83">
        <f>F70+F66+F58+F43+F30+F22+F7</f>
        <v>64232559</v>
      </c>
      <c r="G74" s="78">
        <f t="shared" ref="G74" si="79">G70+G66+G58+G43+G30+G22+G7</f>
        <v>58040385</v>
      </c>
      <c r="H74" s="78">
        <f t="shared" ref="H74" si="80">H70+H66+H58+H43+H30+H22+H7</f>
        <v>58166385</v>
      </c>
      <c r="I74" s="338">
        <f t="shared" ref="I74:P74" si="81">I70+I66+I58+I43+I30+I22+I7</f>
        <v>905386</v>
      </c>
      <c r="J74" s="585">
        <f>J70+J66+J58+J43+J30+J22+J7</f>
        <v>193668326</v>
      </c>
      <c r="K74" s="78">
        <f t="shared" ref="K74" si="82">K70+K66+K58+K43+K30+K22+K7</f>
        <v>221538275</v>
      </c>
      <c r="L74" s="78">
        <f t="shared" ref="L74" si="83">L70+L66+L58+L43+L30+L22+L7</f>
        <v>222638275</v>
      </c>
      <c r="M74" s="78">
        <f t="shared" si="81"/>
        <v>1100000</v>
      </c>
      <c r="N74" s="83">
        <f t="shared" si="81"/>
        <v>9677513859</v>
      </c>
      <c r="O74" s="78">
        <f t="shared" ref="O74" si="84">O70+O66+O58+O43+O30+O22+O7</f>
        <v>11385422228</v>
      </c>
      <c r="P74" s="78">
        <f t="shared" si="81"/>
        <v>10968634478</v>
      </c>
      <c r="Q74" s="338">
        <f>Q70+Q66+Q58+Q43+Q30+Q22+Q7</f>
        <v>-416008364</v>
      </c>
      <c r="R74" s="304">
        <f>M74+I74+E74</f>
        <v>-416008364</v>
      </c>
      <c r="T74" s="23"/>
    </row>
    <row r="75" spans="1:20" s="24" customFormat="1" ht="24.75" customHeight="1" x14ac:dyDescent="0.2">
      <c r="A75" s="625" t="s">
        <v>382</v>
      </c>
      <c r="B75" s="83">
        <f t="shared" ref="B75:E75" si="85">B76+B79</f>
        <v>3302178782</v>
      </c>
      <c r="C75" s="78">
        <f t="shared" si="85"/>
        <v>5356753190</v>
      </c>
      <c r="D75" s="78">
        <f t="shared" ref="D75" si="86">D76+D79</f>
        <v>5356753190</v>
      </c>
      <c r="E75" s="338">
        <f t="shared" si="85"/>
        <v>0</v>
      </c>
      <c r="F75" s="83">
        <f t="shared" ref="F75:H75" si="87">F76+F79</f>
        <v>0</v>
      </c>
      <c r="G75" s="78">
        <f t="shared" ref="G75" si="88">G76+G79</f>
        <v>35572714</v>
      </c>
      <c r="H75" s="78">
        <f t="shared" si="87"/>
        <v>35572714</v>
      </c>
      <c r="I75" s="338">
        <f t="shared" ref="I75:Q75" si="89">I76+I79</f>
        <v>0</v>
      </c>
      <c r="J75" s="585">
        <f t="shared" ref="J75:L75" si="90">J76+J79</f>
        <v>10705437</v>
      </c>
      <c r="K75" s="78">
        <f t="shared" ref="K75" si="91">K76+K79</f>
        <v>28881660</v>
      </c>
      <c r="L75" s="78">
        <f t="shared" si="90"/>
        <v>28881660</v>
      </c>
      <c r="M75" s="78">
        <f t="shared" si="89"/>
        <v>0</v>
      </c>
      <c r="N75" s="83">
        <f t="shared" si="89"/>
        <v>3312884219</v>
      </c>
      <c r="O75" s="78">
        <f t="shared" ref="O75" si="92">O76+O79</f>
        <v>5421207564</v>
      </c>
      <c r="P75" s="78">
        <f t="shared" si="89"/>
        <v>5421207564</v>
      </c>
      <c r="Q75" s="338">
        <f t="shared" si="89"/>
        <v>0</v>
      </c>
      <c r="R75" s="304"/>
      <c r="T75" s="23"/>
    </row>
    <row r="76" spans="1:20" s="24" customFormat="1" ht="46.5" customHeight="1" x14ac:dyDescent="0.2">
      <c r="A76" s="625" t="s">
        <v>30</v>
      </c>
      <c r="B76" s="83">
        <f t="shared" ref="B76" si="93">SUM(B77:B78)</f>
        <v>2863791597</v>
      </c>
      <c r="C76" s="78">
        <f t="shared" ref="C76" si="94">SUM(C77:C78)</f>
        <v>3054641190</v>
      </c>
      <c r="D76" s="78">
        <f t="shared" ref="D76" si="95">SUM(D77:D78)</f>
        <v>3054641190</v>
      </c>
      <c r="E76" s="338">
        <f>SUM(E77:E78)</f>
        <v>0</v>
      </c>
      <c r="F76" s="83">
        <f t="shared" ref="F76:H76" si="96">SUM(F77:F78)</f>
        <v>0</v>
      </c>
      <c r="G76" s="78">
        <f t="shared" ref="G76" si="97">SUM(G77:G78)</f>
        <v>35572714</v>
      </c>
      <c r="H76" s="78">
        <f t="shared" si="96"/>
        <v>35572714</v>
      </c>
      <c r="I76" s="338">
        <f t="shared" ref="I76:M76" si="98">SUM(I77:I78)</f>
        <v>0</v>
      </c>
      <c r="J76" s="585">
        <f t="shared" ref="J76:L76" si="99">SUM(J77:J78)</f>
        <v>10705437</v>
      </c>
      <c r="K76" s="78">
        <f t="shared" ref="K76" si="100">SUM(K77:K78)</f>
        <v>28881660</v>
      </c>
      <c r="L76" s="78">
        <f t="shared" si="99"/>
        <v>28881660</v>
      </c>
      <c r="M76" s="78">
        <f t="shared" si="98"/>
        <v>0</v>
      </c>
      <c r="N76" s="83">
        <f>B76+J76+F76</f>
        <v>2874497034</v>
      </c>
      <c r="O76" s="78">
        <f>C76+K76+G76</f>
        <v>3119095564</v>
      </c>
      <c r="P76" s="78">
        <f>D76+L76+H76</f>
        <v>3119095564</v>
      </c>
      <c r="Q76" s="338">
        <f>E76+M76+I76</f>
        <v>0</v>
      </c>
      <c r="R76" s="304"/>
    </row>
    <row r="77" spans="1:20" s="26" customFormat="1" ht="66.2" customHeight="1" x14ac:dyDescent="0.2">
      <c r="A77" s="625" t="s">
        <v>463</v>
      </c>
      <c r="B77" s="84">
        <v>169496533</v>
      </c>
      <c r="C77" s="79">
        <v>358994676</v>
      </c>
      <c r="D77" s="79">
        <v>121031215</v>
      </c>
      <c r="E77" s="339">
        <f>D77-C77</f>
        <v>-237963461</v>
      </c>
      <c r="F77" s="349">
        <f>'2.a tábla ÚJ '!S47</f>
        <v>0</v>
      </c>
      <c r="G77" s="79">
        <f>'2.a tábla ÚJ '!T47</f>
        <v>27144823</v>
      </c>
      <c r="H77" s="79">
        <f>'2.a tábla ÚJ '!U47</f>
        <v>27144823</v>
      </c>
      <c r="I77" s="339">
        <f>'2.a tábla ÚJ '!V47</f>
        <v>0</v>
      </c>
      <c r="J77" s="584">
        <f>'2.a tábla ÚJ '!N47</f>
        <v>268437</v>
      </c>
      <c r="K77" s="248">
        <f>'2.a tábla ÚJ '!O47</f>
        <v>14588409</v>
      </c>
      <c r="L77" s="248">
        <f>'2.a tábla ÚJ '!P47</f>
        <v>14588409</v>
      </c>
      <c r="M77" s="248">
        <f>'2.a tábla ÚJ '!Q47</f>
        <v>0</v>
      </c>
      <c r="N77" s="84">
        <f t="shared" ref="N77:P78" si="101">B77+F77+J77</f>
        <v>169764970</v>
      </c>
      <c r="O77" s="79">
        <f t="shared" si="101"/>
        <v>400727908</v>
      </c>
      <c r="P77" s="79">
        <f t="shared" si="101"/>
        <v>162764447</v>
      </c>
      <c r="Q77" s="339">
        <f t="shared" ref="Q77:Q82" si="102">E77+I77+M77</f>
        <v>-237963461</v>
      </c>
      <c r="R77" s="307"/>
    </row>
    <row r="78" spans="1:20" s="26" customFormat="1" ht="72" customHeight="1" x14ac:dyDescent="0.2">
      <c r="A78" s="610" t="s">
        <v>31</v>
      </c>
      <c r="B78" s="84">
        <v>2694295064</v>
      </c>
      <c r="C78" s="79">
        <v>2695646514</v>
      </c>
      <c r="D78" s="79">
        <v>2933609975</v>
      </c>
      <c r="E78" s="339">
        <f>D78-C78</f>
        <v>237963461</v>
      </c>
      <c r="F78" s="349">
        <f>'2.a tábla ÚJ '!S48</f>
        <v>0</v>
      </c>
      <c r="G78" s="79">
        <f>'2.a tábla ÚJ '!T48</f>
        <v>8427891</v>
      </c>
      <c r="H78" s="79">
        <f>'2.a tábla ÚJ '!U48</f>
        <v>8427891</v>
      </c>
      <c r="I78" s="339">
        <f>'2.a tábla ÚJ '!V48</f>
        <v>0</v>
      </c>
      <c r="J78" s="584">
        <f>'2.a tábla ÚJ '!N48</f>
        <v>10437000</v>
      </c>
      <c r="K78" s="248">
        <f>'2.a tábla ÚJ '!O48</f>
        <v>14293251</v>
      </c>
      <c r="L78" s="248">
        <f>'2.a tábla ÚJ '!P48</f>
        <v>14293251</v>
      </c>
      <c r="M78" s="248">
        <f>'2.a tábla ÚJ '!Q48</f>
        <v>0</v>
      </c>
      <c r="N78" s="349">
        <f t="shared" si="101"/>
        <v>2704732064</v>
      </c>
      <c r="O78" s="79">
        <f t="shared" si="101"/>
        <v>2718367656</v>
      </c>
      <c r="P78" s="79">
        <f t="shared" si="101"/>
        <v>2956331117</v>
      </c>
      <c r="Q78" s="339">
        <f t="shared" si="102"/>
        <v>237963461</v>
      </c>
      <c r="R78" s="306"/>
    </row>
    <row r="79" spans="1:20" s="24" customFormat="1" ht="51" customHeight="1" x14ac:dyDescent="0.2">
      <c r="A79" s="625" t="s">
        <v>32</v>
      </c>
      <c r="B79" s="83">
        <f t="shared" ref="B79:E79" si="103">B80+B84+B89+B90</f>
        <v>438387185</v>
      </c>
      <c r="C79" s="78">
        <f t="shared" si="103"/>
        <v>2302112000</v>
      </c>
      <c r="D79" s="78">
        <f t="shared" ref="D79" si="104">D80+D84+D89+D90</f>
        <v>2302112000</v>
      </c>
      <c r="E79" s="338">
        <f t="shared" si="103"/>
        <v>0</v>
      </c>
      <c r="F79" s="83">
        <f t="shared" ref="F79:Q79" si="105">F80+F84+F89+F90</f>
        <v>0</v>
      </c>
      <c r="G79" s="78">
        <f t="shared" si="105"/>
        <v>0</v>
      </c>
      <c r="H79" s="78">
        <f t="shared" ref="H79" si="106">H80+H84+H89+H90</f>
        <v>0</v>
      </c>
      <c r="I79" s="338">
        <f t="shared" si="105"/>
        <v>0</v>
      </c>
      <c r="J79" s="585">
        <f t="shared" ref="J79:L79" si="107">J80+J84+J89+J90</f>
        <v>0</v>
      </c>
      <c r="K79" s="78">
        <f t="shared" ref="K79" si="108">K80+K84+K89+K90</f>
        <v>0</v>
      </c>
      <c r="L79" s="78">
        <f t="shared" si="107"/>
        <v>0</v>
      </c>
      <c r="M79" s="78">
        <f t="shared" si="105"/>
        <v>0</v>
      </c>
      <c r="N79" s="83">
        <f t="shared" si="105"/>
        <v>438387185</v>
      </c>
      <c r="O79" s="78">
        <f t="shared" ref="O79" si="109">O80+O84+O89+O90</f>
        <v>2302112000</v>
      </c>
      <c r="P79" s="78">
        <f t="shared" si="105"/>
        <v>2302112000</v>
      </c>
      <c r="Q79" s="338">
        <f t="shared" si="105"/>
        <v>0</v>
      </c>
      <c r="R79" s="309"/>
    </row>
    <row r="80" spans="1:20" s="24" customFormat="1" ht="38.25" customHeight="1" x14ac:dyDescent="0.2">
      <c r="A80" s="612" t="s">
        <v>33</v>
      </c>
      <c r="B80" s="83"/>
      <c r="C80" s="249">
        <f>SUM(C81:C83)</f>
        <v>1520000000</v>
      </c>
      <c r="D80" s="249">
        <f>SUM(D81:D83)</f>
        <v>1520000000</v>
      </c>
      <c r="E80" s="338">
        <f>D80-C80</f>
        <v>0</v>
      </c>
      <c r="F80" s="83">
        <f t="shared" ref="F80:G80" si="110">SUM(F81:F83)</f>
        <v>0</v>
      </c>
      <c r="G80" s="78">
        <f t="shared" si="110"/>
        <v>0</v>
      </c>
      <c r="H80" s="78">
        <f t="shared" ref="H80" si="111">SUM(H81:H83)</f>
        <v>0</v>
      </c>
      <c r="I80" s="338">
        <f t="shared" ref="I80:P80" si="112">SUM(I81:I83)</f>
        <v>0</v>
      </c>
      <c r="J80" s="585">
        <f t="shared" ref="J80" si="113">SUM(J81:J83)</f>
        <v>0</v>
      </c>
      <c r="K80" s="249"/>
      <c r="L80" s="249"/>
      <c r="M80" s="249"/>
      <c r="N80" s="83">
        <f t="shared" si="112"/>
        <v>0</v>
      </c>
      <c r="O80" s="78">
        <f t="shared" ref="O80" si="114">SUM(O81:O83)</f>
        <v>1520000000</v>
      </c>
      <c r="P80" s="78">
        <f t="shared" si="112"/>
        <v>1520000000</v>
      </c>
      <c r="Q80" s="338">
        <f t="shared" si="102"/>
        <v>0</v>
      </c>
      <c r="R80" s="309"/>
    </row>
    <row r="81" spans="1:18" s="26" customFormat="1" ht="23.25" customHeight="1" x14ac:dyDescent="0.2">
      <c r="A81" s="610" t="s">
        <v>34</v>
      </c>
      <c r="B81" s="629"/>
      <c r="C81" s="415">
        <v>720000000</v>
      </c>
      <c r="D81" s="415">
        <v>720000000</v>
      </c>
      <c r="E81" s="339">
        <f>D81-C81</f>
        <v>0</v>
      </c>
      <c r="F81" s="629"/>
      <c r="G81" s="415"/>
      <c r="H81" s="415"/>
      <c r="I81" s="705"/>
      <c r="J81" s="586"/>
      <c r="K81" s="415"/>
      <c r="L81" s="415"/>
      <c r="M81" s="415"/>
      <c r="N81" s="84">
        <f t="shared" ref="N81:N90" si="115">B81+J81</f>
        <v>0</v>
      </c>
      <c r="O81" s="79">
        <f t="shared" ref="O81:P90" si="116">C81+K81</f>
        <v>720000000</v>
      </c>
      <c r="P81" s="79">
        <f t="shared" si="116"/>
        <v>720000000</v>
      </c>
      <c r="Q81" s="339">
        <f t="shared" si="102"/>
        <v>0</v>
      </c>
      <c r="R81" s="309"/>
    </row>
    <row r="82" spans="1:18" s="26" customFormat="1" ht="38.25" x14ac:dyDescent="0.2">
      <c r="A82" s="610" t="s">
        <v>35</v>
      </c>
      <c r="B82" s="629"/>
      <c r="C82" s="415">
        <v>800000000</v>
      </c>
      <c r="D82" s="415">
        <v>800000000</v>
      </c>
      <c r="E82" s="339">
        <f t="shared" ref="E82:E83" si="117">D82-C82</f>
        <v>0</v>
      </c>
      <c r="F82" s="629"/>
      <c r="G82" s="415"/>
      <c r="H82" s="415"/>
      <c r="I82" s="705"/>
      <c r="J82" s="586"/>
      <c r="K82" s="415"/>
      <c r="L82" s="415"/>
      <c r="M82" s="415"/>
      <c r="N82" s="84">
        <f t="shared" si="115"/>
        <v>0</v>
      </c>
      <c r="O82" s="79">
        <f t="shared" si="116"/>
        <v>800000000</v>
      </c>
      <c r="P82" s="79">
        <f t="shared" si="116"/>
        <v>800000000</v>
      </c>
      <c r="Q82" s="339">
        <f t="shared" si="102"/>
        <v>0</v>
      </c>
      <c r="R82" s="309"/>
    </row>
    <row r="83" spans="1:18" s="26" customFormat="1" ht="23.25" customHeight="1" x14ac:dyDescent="0.2">
      <c r="A83" s="610" t="s">
        <v>36</v>
      </c>
      <c r="B83" s="629"/>
      <c r="C83" s="415"/>
      <c r="D83" s="415"/>
      <c r="E83" s="339">
        <f t="shared" si="117"/>
        <v>0</v>
      </c>
      <c r="F83" s="629"/>
      <c r="G83" s="415"/>
      <c r="H83" s="415"/>
      <c r="I83" s="705"/>
      <c r="J83" s="586"/>
      <c r="K83" s="415"/>
      <c r="L83" s="415"/>
      <c r="M83" s="415"/>
      <c r="N83" s="84">
        <f t="shared" si="115"/>
        <v>0</v>
      </c>
      <c r="O83" s="79">
        <f t="shared" si="116"/>
        <v>0</v>
      </c>
      <c r="P83" s="79">
        <f t="shared" si="116"/>
        <v>0</v>
      </c>
      <c r="Q83" s="339"/>
      <c r="R83" s="309"/>
    </row>
    <row r="84" spans="1:18" s="24" customFormat="1" ht="27" customHeight="1" x14ac:dyDescent="0.2">
      <c r="A84" s="612" t="s">
        <v>37</v>
      </c>
      <c r="B84" s="83">
        <f>SUM(B85:B88)</f>
        <v>425587185</v>
      </c>
      <c r="C84" s="78">
        <f>SUM(C85:C88)</f>
        <v>769312000</v>
      </c>
      <c r="D84" s="78">
        <f>SUM(D85:D88)</f>
        <v>769312000</v>
      </c>
      <c r="E84" s="338">
        <f>SUM(E85:E88)</f>
        <v>0</v>
      </c>
      <c r="F84" s="83"/>
      <c r="G84" s="249"/>
      <c r="H84" s="249"/>
      <c r="I84" s="338"/>
      <c r="J84" s="585"/>
      <c r="K84" s="249"/>
      <c r="L84" s="249"/>
      <c r="M84" s="249"/>
      <c r="N84" s="83">
        <f t="shared" si="115"/>
        <v>425587185</v>
      </c>
      <c r="O84" s="78">
        <f t="shared" si="116"/>
        <v>769312000</v>
      </c>
      <c r="P84" s="78">
        <f t="shared" si="116"/>
        <v>769312000</v>
      </c>
      <c r="Q84" s="338">
        <f>E84+M84</f>
        <v>0</v>
      </c>
      <c r="R84" s="308"/>
    </row>
    <row r="85" spans="1:18" s="26" customFormat="1" ht="38.25" x14ac:dyDescent="0.2">
      <c r="A85" s="626" t="s">
        <v>526</v>
      </c>
      <c r="B85" s="629">
        <v>425587185</v>
      </c>
      <c r="C85" s="415">
        <v>769312000</v>
      </c>
      <c r="D85" s="415">
        <v>769312000</v>
      </c>
      <c r="E85" s="705">
        <f>D85-C85</f>
        <v>0</v>
      </c>
      <c r="F85" s="84"/>
      <c r="G85" s="415"/>
      <c r="H85" s="415"/>
      <c r="I85" s="705"/>
      <c r="J85" s="584"/>
      <c r="K85" s="415"/>
      <c r="L85" s="415"/>
      <c r="M85" s="415"/>
      <c r="N85" s="84">
        <f t="shared" si="115"/>
        <v>425587185</v>
      </c>
      <c r="O85" s="79">
        <f t="shared" si="116"/>
        <v>769312000</v>
      </c>
      <c r="P85" s="79">
        <f t="shared" si="116"/>
        <v>769312000</v>
      </c>
      <c r="Q85" s="339">
        <f>E85+M85</f>
        <v>0</v>
      </c>
      <c r="R85" s="306"/>
    </row>
    <row r="86" spans="1:18" s="26" customFormat="1" ht="23.25" customHeight="1" x14ac:dyDescent="0.2">
      <c r="A86" s="611" t="s">
        <v>38</v>
      </c>
      <c r="B86" s="629"/>
      <c r="C86" s="415"/>
      <c r="D86" s="415"/>
      <c r="E86" s="705"/>
      <c r="F86" s="629"/>
      <c r="G86" s="415"/>
      <c r="H86" s="415"/>
      <c r="I86" s="705"/>
      <c r="J86" s="586"/>
      <c r="K86" s="415"/>
      <c r="L86" s="415"/>
      <c r="M86" s="415"/>
      <c r="N86" s="84">
        <f t="shared" si="115"/>
        <v>0</v>
      </c>
      <c r="O86" s="79">
        <f t="shared" si="116"/>
        <v>0</v>
      </c>
      <c r="P86" s="79">
        <f t="shared" si="116"/>
        <v>0</v>
      </c>
      <c r="Q86" s="339"/>
      <c r="R86" s="306"/>
    </row>
    <row r="87" spans="1:18" s="24" customFormat="1" ht="38.25" x14ac:dyDescent="0.2">
      <c r="A87" s="611" t="s">
        <v>39</v>
      </c>
      <c r="B87" s="629"/>
      <c r="C87" s="415"/>
      <c r="D87" s="415"/>
      <c r="E87" s="705"/>
      <c r="F87" s="629"/>
      <c r="G87" s="415"/>
      <c r="H87" s="415"/>
      <c r="I87" s="705"/>
      <c r="J87" s="586"/>
      <c r="K87" s="415"/>
      <c r="L87" s="415"/>
      <c r="M87" s="415"/>
      <c r="N87" s="84">
        <f t="shared" si="115"/>
        <v>0</v>
      </c>
      <c r="O87" s="79">
        <f t="shared" si="116"/>
        <v>0</v>
      </c>
      <c r="P87" s="79">
        <f t="shared" si="116"/>
        <v>0</v>
      </c>
      <c r="Q87" s="339"/>
      <c r="R87" s="308"/>
    </row>
    <row r="88" spans="1:18" s="24" customFormat="1" ht="25.5" customHeight="1" x14ac:dyDescent="0.2">
      <c r="A88" s="611" t="s">
        <v>40</v>
      </c>
      <c r="B88" s="629"/>
      <c r="C88" s="415"/>
      <c r="D88" s="415"/>
      <c r="E88" s="705"/>
      <c r="F88" s="629"/>
      <c r="G88" s="415"/>
      <c r="H88" s="415"/>
      <c r="I88" s="705"/>
      <c r="J88" s="586"/>
      <c r="K88" s="415"/>
      <c r="L88" s="415"/>
      <c r="M88" s="415"/>
      <c r="N88" s="84">
        <f t="shared" si="115"/>
        <v>0</v>
      </c>
      <c r="O88" s="79">
        <f t="shared" si="116"/>
        <v>0</v>
      </c>
      <c r="P88" s="79">
        <f t="shared" si="116"/>
        <v>0</v>
      </c>
      <c r="Q88" s="339"/>
      <c r="R88" s="308"/>
    </row>
    <row r="89" spans="1:18" s="24" customFormat="1" ht="17.45" customHeight="1" x14ac:dyDescent="0.2">
      <c r="A89" s="612" t="s">
        <v>218</v>
      </c>
      <c r="B89" s="630"/>
      <c r="C89" s="417"/>
      <c r="D89" s="417"/>
      <c r="E89" s="706"/>
      <c r="F89" s="630"/>
      <c r="G89" s="417"/>
      <c r="H89" s="417"/>
      <c r="I89" s="706"/>
      <c r="J89" s="715"/>
      <c r="K89" s="417"/>
      <c r="L89" s="417"/>
      <c r="M89" s="417"/>
      <c r="N89" s="83">
        <f t="shared" si="115"/>
        <v>0</v>
      </c>
      <c r="O89" s="78">
        <f t="shared" si="116"/>
        <v>0</v>
      </c>
      <c r="P89" s="78">
        <f t="shared" si="116"/>
        <v>0</v>
      </c>
      <c r="Q89" s="338"/>
      <c r="R89" s="308"/>
    </row>
    <row r="90" spans="1:18" s="24" customFormat="1" ht="25.5" customHeight="1" x14ac:dyDescent="0.2">
      <c r="A90" s="612" t="s">
        <v>329</v>
      </c>
      <c r="B90" s="630">
        <v>12800000</v>
      </c>
      <c r="C90" s="1392">
        <v>12800000</v>
      </c>
      <c r="D90" s="1392">
        <v>12800000</v>
      </c>
      <c r="E90" s="706">
        <f>C90-C90</f>
        <v>0</v>
      </c>
      <c r="F90" s="83"/>
      <c r="G90" s="417"/>
      <c r="H90" s="417"/>
      <c r="I90" s="706"/>
      <c r="J90" s="585"/>
      <c r="K90" s="417"/>
      <c r="L90" s="417"/>
      <c r="M90" s="417"/>
      <c r="N90" s="83">
        <f t="shared" si="115"/>
        <v>12800000</v>
      </c>
      <c r="O90" s="78">
        <f t="shared" si="116"/>
        <v>12800000</v>
      </c>
      <c r="P90" s="78">
        <f t="shared" si="116"/>
        <v>12800000</v>
      </c>
      <c r="Q90" s="338">
        <f>E90+M90</f>
        <v>0</v>
      </c>
      <c r="R90" s="308"/>
    </row>
    <row r="91" spans="1:18" s="24" customFormat="1" ht="27" customHeight="1" x14ac:dyDescent="0.2">
      <c r="A91" s="612" t="s">
        <v>41</v>
      </c>
      <c r="B91" s="83">
        <f>B79+B76</f>
        <v>3302178782</v>
      </c>
      <c r="C91" s="78">
        <f t="shared" ref="C91" si="118">C79+C76</f>
        <v>5356753190</v>
      </c>
      <c r="D91" s="78">
        <f t="shared" ref="D91:E91" si="119">D79+D76</f>
        <v>5356753190</v>
      </c>
      <c r="E91" s="338">
        <f t="shared" si="119"/>
        <v>0</v>
      </c>
      <c r="F91" s="412">
        <f t="shared" ref="F91:H91" si="120">F79+F76</f>
        <v>0</v>
      </c>
      <c r="G91" s="78">
        <f t="shared" ref="G91" si="121">G79+G76</f>
        <v>35572714</v>
      </c>
      <c r="H91" s="78">
        <f t="shared" si="120"/>
        <v>35572714</v>
      </c>
      <c r="I91" s="338">
        <f t="shared" ref="I91:M91" si="122">I79+I76</f>
        <v>0</v>
      </c>
      <c r="J91" s="585">
        <f t="shared" ref="J91:L91" si="123">J79+J76</f>
        <v>10705437</v>
      </c>
      <c r="K91" s="78">
        <f t="shared" ref="K91" si="124">K79+K76</f>
        <v>28881660</v>
      </c>
      <c r="L91" s="78">
        <f t="shared" si="123"/>
        <v>28881660</v>
      </c>
      <c r="M91" s="78">
        <f t="shared" si="122"/>
        <v>0</v>
      </c>
      <c r="N91" s="83">
        <f>B91+J91+F91:F94</f>
        <v>3312884219</v>
      </c>
      <c r="O91" s="78">
        <f>C91+K91+G91:G94</f>
        <v>5421207564</v>
      </c>
      <c r="P91" s="78">
        <f>D91+L91+H91:H94</f>
        <v>5421207564</v>
      </c>
      <c r="Q91" s="338">
        <f>E91+M91+I91</f>
        <v>0</v>
      </c>
      <c r="R91" s="308"/>
    </row>
    <row r="92" spans="1:18" s="24" customFormat="1" ht="15" customHeight="1" x14ac:dyDescent="0.2">
      <c r="A92" s="612" t="s">
        <v>42</v>
      </c>
      <c r="B92" s="83">
        <f t="shared" ref="B92:E92" si="125">B74+B91</f>
        <v>12721791756</v>
      </c>
      <c r="C92" s="78">
        <f t="shared" si="125"/>
        <v>16462596758</v>
      </c>
      <c r="D92" s="78">
        <f t="shared" ref="D92" si="126">D74+D91</f>
        <v>16044583008</v>
      </c>
      <c r="E92" s="338">
        <f t="shared" si="125"/>
        <v>-418013750</v>
      </c>
      <c r="F92" s="412">
        <f t="shared" ref="F92:H92" si="127">F74+F91</f>
        <v>64232559</v>
      </c>
      <c r="G92" s="78">
        <f t="shared" ref="G92" si="128">G74+G91</f>
        <v>93613099</v>
      </c>
      <c r="H92" s="78">
        <f t="shared" si="127"/>
        <v>93739099</v>
      </c>
      <c r="I92" s="338">
        <f t="shared" ref="I92:M92" si="129">I74+I91</f>
        <v>905386</v>
      </c>
      <c r="J92" s="585">
        <f t="shared" ref="J92:L92" si="130">J74+J91</f>
        <v>204373763</v>
      </c>
      <c r="K92" s="78">
        <f t="shared" ref="K92" si="131">K74+K91</f>
        <v>250419935</v>
      </c>
      <c r="L92" s="78">
        <f t="shared" si="130"/>
        <v>251519935</v>
      </c>
      <c r="M92" s="78">
        <f t="shared" si="129"/>
        <v>1100000</v>
      </c>
      <c r="N92" s="83">
        <f t="shared" ref="N92:P93" si="132">B92+J92+F92</f>
        <v>12990398078</v>
      </c>
      <c r="O92" s="78">
        <f t="shared" si="132"/>
        <v>16806629792</v>
      </c>
      <c r="P92" s="78">
        <f t="shared" si="132"/>
        <v>16389842042</v>
      </c>
      <c r="Q92" s="338">
        <f t="shared" ref="Q92:Q93" si="133">E92+M92+I92</f>
        <v>-416008364</v>
      </c>
      <c r="R92" s="304">
        <f>Q91+Q74</f>
        <v>-416008364</v>
      </c>
    </row>
    <row r="93" spans="1:18" x14ac:dyDescent="0.2">
      <c r="A93" s="627" t="s">
        <v>322</v>
      </c>
      <c r="B93" s="175">
        <f>'2.a tábla ÚJ '!S58+'2.a tábla ÚJ '!S60</f>
        <v>23</v>
      </c>
      <c r="C93" s="212">
        <f>'2.a tábla ÚJ '!T58+'2.a tábla ÚJ '!T60</f>
        <v>23</v>
      </c>
      <c r="D93" s="212">
        <f>'2.a tábla ÚJ '!U58+'2.a tábla ÚJ '!U60</f>
        <v>23</v>
      </c>
      <c r="E93" s="350">
        <f>'2.a tábla ÚJ '!V58+'2.a tábla ÚJ '!V60</f>
        <v>0</v>
      </c>
      <c r="F93" s="718">
        <f>'2.a tábla ÚJ '!S57</f>
        <v>73.5</v>
      </c>
      <c r="G93" s="212">
        <f>'2.a tábla ÚJ '!T57</f>
        <v>72.5</v>
      </c>
      <c r="H93" s="212">
        <f>'2.a tábla ÚJ '!U57</f>
        <v>68.5</v>
      </c>
      <c r="I93" s="350">
        <f>'2.a tábla ÚJ '!V57</f>
        <v>-4</v>
      </c>
      <c r="J93" s="617">
        <f>'2.a tábla ÚJ '!N57</f>
        <v>60</v>
      </c>
      <c r="K93" s="557">
        <f>'2.a tábla ÚJ '!O57</f>
        <v>60</v>
      </c>
      <c r="L93" s="557">
        <f>'2.a tábla ÚJ '!P57</f>
        <v>60</v>
      </c>
      <c r="M93" s="557">
        <f>'2.a tábla ÚJ '!Q57</f>
        <v>0</v>
      </c>
      <c r="N93" s="175">
        <f t="shared" si="132"/>
        <v>156.5</v>
      </c>
      <c r="O93" s="212">
        <f t="shared" si="132"/>
        <v>155.5</v>
      </c>
      <c r="P93" s="212">
        <f t="shared" si="132"/>
        <v>151.5</v>
      </c>
      <c r="Q93" s="350">
        <f t="shared" si="133"/>
        <v>-4</v>
      </c>
    </row>
    <row r="94" spans="1:18" ht="15.75" customHeight="1" thickBot="1" x14ac:dyDescent="0.25">
      <c r="A94" s="628" t="s">
        <v>43</v>
      </c>
      <c r="B94" s="631">
        <f>'2.a tábla ÚJ '!S60</f>
        <v>15</v>
      </c>
      <c r="C94" s="487">
        <f>'2.a tábla ÚJ '!T60</f>
        <v>15</v>
      </c>
      <c r="D94" s="487">
        <f>'2.a tábla ÚJ '!U60</f>
        <v>15</v>
      </c>
      <c r="E94" s="707">
        <f>'2.a tábla ÚJ '!V60</f>
        <v>0</v>
      </c>
      <c r="F94" s="719">
        <f>'2.a tábla ÚJ '!S56</f>
        <v>0</v>
      </c>
      <c r="G94" s="144">
        <f>'2.a tábla ÚJ '!T56</f>
        <v>0</v>
      </c>
      <c r="H94" s="144">
        <f>'2.a tábla ÚJ '!U56</f>
        <v>0</v>
      </c>
      <c r="I94" s="608">
        <f>'2.a tábla ÚJ '!V56</f>
        <v>0</v>
      </c>
      <c r="J94" s="618">
        <f>'2.a tábla ÚJ '!N56</f>
        <v>5</v>
      </c>
      <c r="K94" s="558">
        <f>'2.a tábla ÚJ '!O56</f>
        <v>5</v>
      </c>
      <c r="L94" s="558">
        <f>'2.a tábla ÚJ '!P56</f>
        <v>5</v>
      </c>
      <c r="M94" s="558">
        <f>'2.a tábla ÚJ '!Q56</f>
        <v>0</v>
      </c>
      <c r="N94" s="145">
        <f>B94+J94</f>
        <v>20</v>
      </c>
      <c r="O94" s="144">
        <f>C94+K94</f>
        <v>20</v>
      </c>
      <c r="P94" s="144">
        <f>D94+L94</f>
        <v>20</v>
      </c>
      <c r="Q94" s="608">
        <f>E94+M94+I94</f>
        <v>0</v>
      </c>
      <c r="R94" s="36"/>
    </row>
    <row r="95" spans="1:18" x14ac:dyDescent="0.2">
      <c r="B95" s="135"/>
      <c r="C95" s="135"/>
      <c r="D95" s="135"/>
      <c r="E95" s="135"/>
      <c r="F95" s="135"/>
      <c r="J95" s="135"/>
      <c r="K95" s="135"/>
      <c r="L95" s="135"/>
      <c r="M95" s="135"/>
      <c r="O95" s="135"/>
      <c r="P95" s="135"/>
      <c r="Q95" s="135"/>
    </row>
    <row r="96" spans="1:18" x14ac:dyDescent="0.2">
      <c r="B96" s="135"/>
      <c r="C96" s="135"/>
      <c r="D96" s="135"/>
      <c r="E96" s="135"/>
      <c r="F96" s="135"/>
      <c r="J96" s="135"/>
      <c r="K96" s="154"/>
      <c r="L96" s="154"/>
      <c r="M96" s="154"/>
      <c r="N96" s="135"/>
      <c r="O96" s="135"/>
      <c r="P96" s="135"/>
      <c r="Q96" s="135"/>
    </row>
    <row r="97" spans="2:17" x14ac:dyDescent="0.2">
      <c r="B97" s="135"/>
      <c r="C97" s="135"/>
      <c r="D97" s="135"/>
      <c r="E97" s="135"/>
      <c r="F97" s="135"/>
      <c r="J97" s="135"/>
      <c r="K97" s="154"/>
      <c r="L97" s="154"/>
      <c r="M97" s="154"/>
      <c r="N97" s="135"/>
      <c r="O97" s="135"/>
      <c r="P97" s="135"/>
      <c r="Q97" s="135"/>
    </row>
    <row r="98" spans="2:17" x14ac:dyDescent="0.2">
      <c r="B98" s="135"/>
      <c r="C98" s="135"/>
      <c r="D98" s="135"/>
      <c r="E98" s="135"/>
      <c r="F98" s="135"/>
      <c r="J98" s="135"/>
      <c r="K98" s="154"/>
      <c r="L98" s="154"/>
      <c r="M98" s="154"/>
      <c r="N98" s="135"/>
      <c r="O98" s="135"/>
      <c r="P98" s="135"/>
      <c r="Q98" s="135"/>
    </row>
    <row r="99" spans="2:17" x14ac:dyDescent="0.2">
      <c r="B99" s="135"/>
      <c r="C99" s="135"/>
      <c r="D99" s="135"/>
      <c r="E99" s="135"/>
      <c r="F99" s="135"/>
      <c r="J99" s="135"/>
      <c r="K99" s="154"/>
      <c r="L99" s="154"/>
      <c r="M99" s="154"/>
      <c r="N99" s="135"/>
      <c r="O99" s="135"/>
      <c r="P99" s="135"/>
      <c r="Q99" s="135"/>
    </row>
    <row r="100" spans="2:17" x14ac:dyDescent="0.2">
      <c r="B100" s="135"/>
      <c r="C100" s="135"/>
      <c r="D100" s="135"/>
      <c r="E100" s="135"/>
      <c r="K100" s="154"/>
      <c r="L100" s="154"/>
      <c r="M100" s="154"/>
      <c r="N100" s="135"/>
      <c r="O100" s="135"/>
      <c r="P100" s="135"/>
      <c r="Q100" s="135"/>
    </row>
    <row r="101" spans="2:17" x14ac:dyDescent="0.2">
      <c r="N101" s="135"/>
      <c r="O101" s="135"/>
      <c r="P101" s="135"/>
      <c r="Q101" s="135"/>
    </row>
  </sheetData>
  <sheetProtection selectLockedCells="1" selectUnlockedCells="1"/>
  <mergeCells count="13">
    <mergeCell ref="B64:E64"/>
    <mergeCell ref="F64:I64"/>
    <mergeCell ref="J64:M64"/>
    <mergeCell ref="N64:Q64"/>
    <mergeCell ref="A3:Q3"/>
    <mergeCell ref="B5:E5"/>
    <mergeCell ref="F5:I5"/>
    <mergeCell ref="J5:M5"/>
    <mergeCell ref="N5:Q5"/>
    <mergeCell ref="B28:E28"/>
    <mergeCell ref="F28:I28"/>
    <mergeCell ref="J28:M28"/>
    <mergeCell ref="N28:Q28"/>
  </mergeCells>
  <printOptions horizontalCentered="1" gridLines="1"/>
  <pageMargins left="0.43307086614173229" right="0.43307086614173229" top="0.98425196850393704" bottom="0.23622047244094491" header="0.27559055118110237" footer="0.51181102362204722"/>
  <pageSetup paperSize="9" scale="47" firstPageNumber="0" fitToHeight="0" orientation="landscape" r:id="rId1"/>
  <headerFooter alignWithMargins="0">
    <oddHeader xml:space="preserve">&amp;C2. melléklet 
 az önkormányzat 2020. évi költségvetéséről szóló 6/2019. (III.06.) önkormányzati rendelethez
a 42/2020. (XII.21.) önkormányzati rendelet módosítással egységes szerkezetbe foglalva&amp;R&amp;12
&amp;P. oldal
</oddHeader>
  </headerFooter>
  <rowBreaks count="2" manualBreakCount="2">
    <brk id="27" max="12" man="1"/>
    <brk id="63" max="12" man="1"/>
  </rowBreaks>
  <ignoredErrors>
    <ignoredError sqref="E38 B3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P61"/>
  <sheetViews>
    <sheetView view="pageLayout" topLeftCell="L3" zoomScale="84" zoomScaleNormal="84" zoomScaleSheetLayoutView="89" zoomScalePageLayoutView="84" workbookViewId="0">
      <selection activeCell="V54" sqref="V54"/>
    </sheetView>
  </sheetViews>
  <sheetFormatPr defaultColWidth="9.140625" defaultRowHeight="14.25" x14ac:dyDescent="0.2"/>
  <cols>
    <col min="1" max="1" width="41.28515625" style="16" customWidth="1"/>
    <col min="2" max="5" width="12.7109375" style="29" customWidth="1"/>
    <col min="6" max="6" width="13" style="29" customWidth="1"/>
    <col min="7" max="9" width="14.42578125" style="29" customWidth="1"/>
    <col min="10" max="10" width="13.7109375" style="30" customWidth="1"/>
    <col min="11" max="13" width="12.28515625" style="30" customWidth="1"/>
    <col min="14" max="14" width="14" style="29" customWidth="1"/>
    <col min="15" max="16" width="12.85546875" style="29" customWidth="1"/>
    <col min="17" max="17" width="13.85546875" style="29" customWidth="1"/>
    <col min="18" max="18" width="1.28515625" style="29" customWidth="1"/>
    <col min="19" max="19" width="12.7109375" style="29" customWidth="1"/>
    <col min="20" max="22" width="14.28515625" style="29" customWidth="1"/>
    <col min="23" max="23" width="11.28515625" style="29" bestFit="1" customWidth="1"/>
    <col min="24" max="24" width="9.28515625" style="29" bestFit="1" customWidth="1"/>
    <col min="25" max="124" width="9.140625" style="29"/>
    <col min="125" max="198" width="9.140625" style="18"/>
    <col min="199" max="16384" width="9.140625" style="9"/>
  </cols>
  <sheetData>
    <row r="1" spans="1:124" ht="12.75" hidden="1" customHeight="1" x14ac:dyDescent="0.2">
      <c r="A1" s="68"/>
      <c r="B1" s="27"/>
      <c r="C1" s="27"/>
      <c r="D1" s="27"/>
      <c r="E1" s="27"/>
      <c r="F1" s="27"/>
      <c r="G1" s="27"/>
      <c r="H1" s="27"/>
      <c r="I1" s="27"/>
      <c r="J1" s="28"/>
      <c r="K1" s="28"/>
      <c r="L1" s="28"/>
      <c r="M1" s="28"/>
      <c r="N1" s="27"/>
      <c r="O1" s="27"/>
      <c r="P1" s="27"/>
      <c r="Q1" s="27"/>
    </row>
    <row r="2" spans="1:124" ht="12.75" hidden="1" customHeight="1" x14ac:dyDescent="0.2"/>
    <row r="3" spans="1:124" ht="12.75" customHeight="1" x14ac:dyDescent="0.2"/>
    <row r="4" spans="1:124" ht="12.75" customHeight="1" x14ac:dyDescent="0.2"/>
    <row r="5" spans="1:124" ht="6" customHeight="1" x14ac:dyDescent="0.2"/>
    <row r="6" spans="1:124" ht="25.5" customHeight="1" x14ac:dyDescent="0.25">
      <c r="A6" s="1911" t="s">
        <v>984</v>
      </c>
      <c r="B6" s="1911"/>
      <c r="C6" s="1911"/>
      <c r="D6" s="1911"/>
      <c r="E6" s="1911"/>
      <c r="F6" s="1911"/>
      <c r="G6" s="1911"/>
      <c r="H6" s="1911"/>
      <c r="I6" s="1911"/>
      <c r="J6" s="1911"/>
      <c r="K6" s="1911"/>
      <c r="L6" s="1911"/>
      <c r="M6" s="1911"/>
      <c r="N6" s="1911"/>
      <c r="O6" s="1911"/>
      <c r="P6" s="1911"/>
      <c r="Q6" s="1911"/>
      <c r="R6" s="1911"/>
      <c r="S6" s="1911"/>
      <c r="T6" s="1911"/>
      <c r="U6" s="1911"/>
      <c r="V6" s="1911"/>
    </row>
    <row r="7" spans="1:124" ht="12.75" customHeight="1" x14ac:dyDescent="0.2"/>
    <row r="8" spans="1:124" ht="12.75" customHeight="1" x14ac:dyDescent="0.2"/>
    <row r="9" spans="1:124" ht="12.75" customHeight="1" thickBot="1" x14ac:dyDescent="0.25"/>
    <row r="10" spans="1:124" s="19" customFormat="1" ht="45.75" customHeight="1" thickBot="1" x14ac:dyDescent="0.25">
      <c r="A10" s="1920" t="s">
        <v>302</v>
      </c>
      <c r="B10" s="1922" t="s">
        <v>203</v>
      </c>
      <c r="C10" s="1923"/>
      <c r="D10" s="1923"/>
      <c r="E10" s="1923"/>
      <c r="F10" s="1924" t="s">
        <v>492</v>
      </c>
      <c r="G10" s="1925"/>
      <c r="H10" s="1925"/>
      <c r="I10" s="1925"/>
      <c r="J10" s="1926" t="s">
        <v>502</v>
      </c>
      <c r="K10" s="1927"/>
      <c r="L10" s="1927"/>
      <c r="M10" s="1927"/>
      <c r="N10" s="1928" t="s">
        <v>44</v>
      </c>
      <c r="O10" s="1929"/>
      <c r="P10" s="1929"/>
      <c r="Q10" s="1930"/>
      <c r="R10" s="325"/>
      <c r="S10" s="1924" t="s">
        <v>200</v>
      </c>
      <c r="T10" s="1925"/>
      <c r="U10" s="1925"/>
      <c r="V10" s="1931"/>
      <c r="W10" s="418"/>
      <c r="X10" s="418"/>
      <c r="Y10" s="418"/>
      <c r="Z10" s="418"/>
      <c r="AA10" s="418"/>
      <c r="AB10" s="418"/>
      <c r="AC10" s="418"/>
      <c r="AD10" s="418"/>
      <c r="AE10" s="418"/>
      <c r="AF10" s="418"/>
      <c r="AG10" s="418"/>
      <c r="AH10" s="418"/>
      <c r="AI10" s="418"/>
      <c r="AJ10" s="418"/>
      <c r="AK10" s="418"/>
      <c r="AL10" s="418"/>
      <c r="AM10" s="418"/>
      <c r="AN10" s="418"/>
      <c r="AO10" s="418"/>
      <c r="AP10" s="418"/>
      <c r="AQ10" s="418"/>
      <c r="AR10" s="418"/>
      <c r="AS10" s="418"/>
      <c r="AT10" s="418"/>
      <c r="AU10" s="418"/>
      <c r="AV10" s="418"/>
      <c r="AW10" s="418"/>
      <c r="AX10" s="418"/>
      <c r="AY10" s="418"/>
      <c r="AZ10" s="418"/>
      <c r="BA10" s="418"/>
      <c r="BB10" s="418"/>
      <c r="BC10" s="418"/>
      <c r="BD10" s="418"/>
      <c r="BE10" s="418"/>
      <c r="BF10" s="418"/>
      <c r="BG10" s="418"/>
      <c r="BH10" s="418"/>
      <c r="BI10" s="418"/>
      <c r="BJ10" s="418"/>
      <c r="BK10" s="418"/>
      <c r="BL10" s="418"/>
      <c r="BM10" s="418"/>
      <c r="BN10" s="418"/>
      <c r="BO10" s="418"/>
      <c r="BP10" s="418"/>
      <c r="BQ10" s="418"/>
      <c r="BR10" s="418"/>
      <c r="BS10" s="418"/>
      <c r="BT10" s="418"/>
      <c r="BU10" s="418"/>
      <c r="BV10" s="418"/>
      <c r="BW10" s="418"/>
      <c r="BX10" s="418"/>
      <c r="BY10" s="418"/>
      <c r="BZ10" s="418"/>
      <c r="CA10" s="418"/>
      <c r="CB10" s="418"/>
      <c r="CC10" s="418"/>
      <c r="CD10" s="418"/>
      <c r="CE10" s="418"/>
      <c r="CF10" s="418"/>
      <c r="CG10" s="418"/>
      <c r="CH10" s="418"/>
      <c r="CI10" s="418"/>
      <c r="CJ10" s="418"/>
      <c r="CK10" s="418"/>
      <c r="CL10" s="418"/>
      <c r="CM10" s="418"/>
      <c r="CN10" s="418"/>
      <c r="CO10" s="418"/>
      <c r="CP10" s="418"/>
      <c r="CQ10" s="418"/>
      <c r="CR10" s="418"/>
      <c r="CS10" s="418"/>
      <c r="CT10" s="418"/>
      <c r="CU10" s="418"/>
      <c r="CV10" s="418"/>
      <c r="CW10" s="418"/>
      <c r="CX10" s="418"/>
      <c r="CY10" s="418"/>
      <c r="CZ10" s="418"/>
      <c r="DA10" s="418"/>
      <c r="DB10" s="418"/>
      <c r="DC10" s="418"/>
      <c r="DD10" s="418"/>
      <c r="DE10" s="418"/>
      <c r="DF10" s="418"/>
      <c r="DG10" s="418"/>
      <c r="DH10" s="418"/>
      <c r="DI10" s="418"/>
      <c r="DJ10" s="418"/>
      <c r="DK10" s="418"/>
      <c r="DL10" s="418"/>
      <c r="DM10" s="418"/>
      <c r="DN10" s="418"/>
      <c r="DO10" s="418"/>
      <c r="DP10" s="418"/>
      <c r="DQ10" s="418"/>
      <c r="DR10" s="418"/>
      <c r="DS10" s="418"/>
      <c r="DT10" s="418"/>
    </row>
    <row r="11" spans="1:124" s="24" customFormat="1" ht="59.25" customHeight="1" thickBot="1" x14ac:dyDescent="0.25">
      <c r="A11" s="1921"/>
      <c r="B11" s="556" t="s">
        <v>660</v>
      </c>
      <c r="C11" s="390" t="s">
        <v>1021</v>
      </c>
      <c r="D11" s="390" t="s">
        <v>1111</v>
      </c>
      <c r="E11" s="391" t="s">
        <v>987</v>
      </c>
      <c r="F11" s="556" t="s">
        <v>660</v>
      </c>
      <c r="G11" s="390" t="s">
        <v>1021</v>
      </c>
      <c r="H11" s="390" t="s">
        <v>1111</v>
      </c>
      <c r="I11" s="391" t="s">
        <v>987</v>
      </c>
      <c r="J11" s="556" t="s">
        <v>660</v>
      </c>
      <c r="K11" s="390" t="s">
        <v>1021</v>
      </c>
      <c r="L11" s="390" t="s">
        <v>1111</v>
      </c>
      <c r="M11" s="391" t="s">
        <v>987</v>
      </c>
      <c r="N11" s="556" t="s">
        <v>660</v>
      </c>
      <c r="O11" s="390" t="s">
        <v>1021</v>
      </c>
      <c r="P11" s="390" t="s">
        <v>1111</v>
      </c>
      <c r="Q11" s="391" t="s">
        <v>987</v>
      </c>
      <c r="R11" s="291"/>
      <c r="S11" s="556" t="s">
        <v>660</v>
      </c>
      <c r="T11" s="390" t="s">
        <v>1021</v>
      </c>
      <c r="U11" s="390" t="s">
        <v>1111</v>
      </c>
      <c r="V11" s="391" t="s">
        <v>987</v>
      </c>
      <c r="W11" s="419"/>
      <c r="X11" s="419"/>
      <c r="Y11" s="419"/>
      <c r="Z11" s="419"/>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19"/>
      <c r="BW11" s="419"/>
      <c r="BX11" s="419"/>
      <c r="BY11" s="419"/>
      <c r="BZ11" s="419"/>
      <c r="CA11" s="419"/>
      <c r="CB11" s="419"/>
      <c r="CC11" s="419"/>
      <c r="CD11" s="419"/>
      <c r="CE11" s="419"/>
      <c r="CF11" s="419"/>
      <c r="CG11" s="419"/>
      <c r="CH11" s="419"/>
      <c r="CI11" s="419"/>
      <c r="CJ11" s="419"/>
      <c r="CK11" s="419"/>
      <c r="CL11" s="419"/>
      <c r="CM11" s="419"/>
      <c r="CN11" s="419"/>
      <c r="CO11" s="419"/>
      <c r="CP11" s="419"/>
      <c r="CQ11" s="419"/>
      <c r="CR11" s="419"/>
      <c r="CS11" s="419"/>
      <c r="CT11" s="419"/>
      <c r="CU11" s="419"/>
      <c r="CV11" s="419"/>
      <c r="CW11" s="419"/>
      <c r="CX11" s="419"/>
      <c r="CY11" s="419"/>
      <c r="CZ11" s="419"/>
      <c r="DA11" s="419"/>
      <c r="DB11" s="419"/>
      <c r="DC11" s="419"/>
      <c r="DD11" s="419"/>
      <c r="DE11" s="419"/>
      <c r="DF11" s="419"/>
      <c r="DG11" s="419"/>
      <c r="DH11" s="419"/>
      <c r="DI11" s="419"/>
      <c r="DJ11" s="419"/>
      <c r="DK11" s="419"/>
      <c r="DL11" s="419"/>
      <c r="DM11" s="419"/>
      <c r="DN11" s="419"/>
      <c r="DO11" s="419"/>
      <c r="DP11" s="419"/>
      <c r="DQ11" s="419"/>
      <c r="DR11" s="419"/>
      <c r="DS11" s="419"/>
      <c r="DT11" s="419"/>
    </row>
    <row r="12" spans="1:124" s="20" customFormat="1" ht="26.25" x14ac:dyDescent="0.25">
      <c r="A12" s="326" t="s">
        <v>45</v>
      </c>
      <c r="B12" s="151">
        <f t="shared" ref="B12:Q12" si="0">B13</f>
        <v>1274488</v>
      </c>
      <c r="C12" s="151">
        <f t="shared" si="0"/>
        <v>11274488</v>
      </c>
      <c r="D12" s="151">
        <f t="shared" si="0"/>
        <v>11274488</v>
      </c>
      <c r="E12" s="1675">
        <f t="shared" si="0"/>
        <v>0</v>
      </c>
      <c r="F12" s="559">
        <f t="shared" si="0"/>
        <v>136773270</v>
      </c>
      <c r="G12" s="151">
        <f t="shared" si="0"/>
        <v>155453219</v>
      </c>
      <c r="H12" s="151">
        <f t="shared" si="0"/>
        <v>156553219</v>
      </c>
      <c r="I12" s="290">
        <f t="shared" si="0"/>
        <v>1100000</v>
      </c>
      <c r="J12" s="678">
        <f t="shared" si="0"/>
        <v>1948975</v>
      </c>
      <c r="K12" s="151">
        <f t="shared" si="0"/>
        <v>1948975</v>
      </c>
      <c r="L12" s="151">
        <f t="shared" si="0"/>
        <v>1948975</v>
      </c>
      <c r="M12" s="151">
        <f t="shared" si="0"/>
        <v>0</v>
      </c>
      <c r="N12" s="150">
        <f t="shared" si="0"/>
        <v>139996733</v>
      </c>
      <c r="O12" s="151">
        <f t="shared" si="0"/>
        <v>168676682</v>
      </c>
      <c r="P12" s="151">
        <f t="shared" si="0"/>
        <v>169776682</v>
      </c>
      <c r="Q12" s="290">
        <f t="shared" si="0"/>
        <v>1100000</v>
      </c>
      <c r="R12" s="160">
        <f>R13+R16</f>
        <v>0</v>
      </c>
      <c r="S12" s="150">
        <f>S13+S16</f>
        <v>30078809</v>
      </c>
      <c r="T12" s="151">
        <f>T13+T16</f>
        <v>23886635</v>
      </c>
      <c r="U12" s="151">
        <f>U13+U16</f>
        <v>23886635</v>
      </c>
      <c r="V12" s="290">
        <f>V13+V16</f>
        <v>0</v>
      </c>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420"/>
      <c r="DG12" s="420"/>
      <c r="DH12" s="420"/>
      <c r="DI12" s="420"/>
      <c r="DJ12" s="420"/>
      <c r="DK12" s="420"/>
      <c r="DL12" s="420"/>
      <c r="DM12" s="420"/>
      <c r="DN12" s="420"/>
      <c r="DO12" s="420"/>
      <c r="DP12" s="420"/>
      <c r="DQ12" s="420"/>
      <c r="DR12" s="420"/>
      <c r="DS12" s="420"/>
      <c r="DT12" s="420"/>
    </row>
    <row r="13" spans="1:124" s="19" customFormat="1" ht="25.5" x14ac:dyDescent="0.2">
      <c r="A13" s="327" t="s">
        <v>419</v>
      </c>
      <c r="B13" s="130">
        <f>300000+974488</f>
        <v>1274488</v>
      </c>
      <c r="C13" s="130">
        <v>11274488</v>
      </c>
      <c r="D13" s="130">
        <v>11274488</v>
      </c>
      <c r="E13" s="231">
        <f>D13-C13</f>
        <v>0</v>
      </c>
      <c r="F13" s="560">
        <f>135000000+1773270</f>
        <v>136773270</v>
      </c>
      <c r="G13" s="231">
        <v>155453219</v>
      </c>
      <c r="H13" s="231">
        <v>156553219</v>
      </c>
      <c r="I13" s="132">
        <f>H13-G13</f>
        <v>1100000</v>
      </c>
      <c r="J13" s="162">
        <v>1948975</v>
      </c>
      <c r="K13" s="130">
        <v>1948975</v>
      </c>
      <c r="L13" s="130">
        <v>1948975</v>
      </c>
      <c r="M13" s="130">
        <f>L13-K13</f>
        <v>0</v>
      </c>
      <c r="N13" s="560">
        <f t="shared" ref="N13:P16" si="1">B13+F13+J13</f>
        <v>139996733</v>
      </c>
      <c r="O13" s="130">
        <f t="shared" si="1"/>
        <v>168676682</v>
      </c>
      <c r="P13" s="130">
        <f t="shared" si="1"/>
        <v>169776682</v>
      </c>
      <c r="Q13" s="132">
        <f t="shared" ref="Q13:Q16" si="2">E13+I13+M13</f>
        <v>1100000</v>
      </c>
      <c r="R13" s="161"/>
      <c r="S13" s="147">
        <v>30078809</v>
      </c>
      <c r="T13" s="231">
        <v>23886635</v>
      </c>
      <c r="U13" s="231">
        <v>23886635</v>
      </c>
      <c r="V13" s="132">
        <f>U13-T13</f>
        <v>0</v>
      </c>
      <c r="W13" s="418"/>
      <c r="X13" s="418"/>
      <c r="Y13" s="418"/>
      <c r="Z13" s="418"/>
      <c r="AA13" s="418"/>
      <c r="AB13" s="418"/>
      <c r="AC13" s="418"/>
      <c r="AD13" s="418"/>
      <c r="AE13" s="418"/>
      <c r="AF13" s="418"/>
      <c r="AG13" s="418"/>
      <c r="AH13" s="418"/>
      <c r="AI13" s="418"/>
      <c r="AJ13" s="418"/>
      <c r="AK13" s="418"/>
      <c r="AL13" s="418"/>
      <c r="AM13" s="418"/>
      <c r="AN13" s="418"/>
      <c r="AO13" s="418"/>
      <c r="AP13" s="418"/>
      <c r="AQ13" s="418"/>
      <c r="AR13" s="418"/>
      <c r="AS13" s="418"/>
      <c r="AT13" s="418"/>
      <c r="AU13" s="418"/>
      <c r="AV13" s="418"/>
      <c r="AW13" s="418"/>
      <c r="AX13" s="418"/>
      <c r="AY13" s="418"/>
      <c r="AZ13" s="418"/>
      <c r="BA13" s="418"/>
      <c r="BB13" s="418"/>
      <c r="BC13" s="418"/>
      <c r="BD13" s="418"/>
      <c r="BE13" s="418"/>
      <c r="BF13" s="418"/>
      <c r="BG13" s="418"/>
      <c r="BH13" s="418"/>
      <c r="BI13" s="418"/>
      <c r="BJ13" s="418"/>
      <c r="BK13" s="418"/>
      <c r="BL13" s="418"/>
      <c r="BM13" s="418"/>
      <c r="BN13" s="418"/>
      <c r="BO13" s="418"/>
      <c r="BP13" s="418"/>
      <c r="BQ13" s="418"/>
      <c r="BR13" s="418"/>
      <c r="BS13" s="418"/>
      <c r="BT13" s="418"/>
      <c r="BU13" s="418"/>
      <c r="BV13" s="418"/>
      <c r="BW13" s="418"/>
      <c r="BX13" s="418"/>
      <c r="BY13" s="418"/>
      <c r="BZ13" s="418"/>
      <c r="CA13" s="418"/>
      <c r="CB13" s="418"/>
      <c r="CC13" s="418"/>
      <c r="CD13" s="418"/>
      <c r="CE13" s="418"/>
      <c r="CF13" s="418"/>
      <c r="CG13" s="418"/>
      <c r="CH13" s="418"/>
      <c r="CI13" s="418"/>
      <c r="CJ13" s="418"/>
      <c r="CK13" s="418"/>
      <c r="CL13" s="418"/>
      <c r="CM13" s="418"/>
      <c r="CN13" s="418"/>
      <c r="CO13" s="418"/>
      <c r="CP13" s="418"/>
      <c r="CQ13" s="418"/>
      <c r="CR13" s="418"/>
      <c r="CS13" s="418"/>
      <c r="CT13" s="418"/>
      <c r="CU13" s="418"/>
      <c r="CV13" s="418"/>
      <c r="CW13" s="418"/>
      <c r="CX13" s="418"/>
      <c r="CY13" s="418"/>
      <c r="CZ13" s="418"/>
      <c r="DA13" s="418"/>
      <c r="DB13" s="418"/>
      <c r="DC13" s="418"/>
      <c r="DD13" s="418"/>
      <c r="DE13" s="418"/>
      <c r="DF13" s="418"/>
      <c r="DG13" s="418"/>
      <c r="DH13" s="418"/>
      <c r="DI13" s="418"/>
      <c r="DJ13" s="418"/>
      <c r="DK13" s="418"/>
      <c r="DL13" s="418"/>
      <c r="DM13" s="418"/>
      <c r="DN13" s="418"/>
      <c r="DO13" s="418"/>
      <c r="DP13" s="418"/>
      <c r="DQ13" s="418"/>
      <c r="DR13" s="418"/>
      <c r="DS13" s="418"/>
      <c r="DT13" s="418"/>
    </row>
    <row r="14" spans="1:124" s="19" customFormat="1" ht="22.7" customHeight="1" x14ac:dyDescent="0.2">
      <c r="A14" s="327" t="s">
        <v>420</v>
      </c>
      <c r="B14" s="421"/>
      <c r="C14" s="130"/>
      <c r="D14" s="130"/>
      <c r="E14" s="231"/>
      <c r="F14" s="560">
        <v>135000000</v>
      </c>
      <c r="G14" s="231">
        <v>153679949</v>
      </c>
      <c r="H14" s="231">
        <v>154779949</v>
      </c>
      <c r="I14" s="132">
        <f>H14-G14</f>
        <v>1100000</v>
      </c>
      <c r="J14" s="162"/>
      <c r="K14" s="130"/>
      <c r="L14" s="130"/>
      <c r="M14" s="130"/>
      <c r="N14" s="560">
        <f t="shared" si="1"/>
        <v>135000000</v>
      </c>
      <c r="O14" s="130">
        <f t="shared" si="1"/>
        <v>153679949</v>
      </c>
      <c r="P14" s="130">
        <f t="shared" si="1"/>
        <v>154779949</v>
      </c>
      <c r="Q14" s="132">
        <f t="shared" si="2"/>
        <v>1100000</v>
      </c>
      <c r="R14" s="161"/>
      <c r="S14" s="147"/>
      <c r="T14" s="231"/>
      <c r="U14" s="231"/>
      <c r="V14" s="132"/>
      <c r="W14" s="418"/>
      <c r="X14" s="418"/>
      <c r="Y14" s="418"/>
      <c r="Z14" s="418"/>
      <c r="AA14" s="418"/>
      <c r="AB14" s="418"/>
      <c r="AC14" s="418"/>
      <c r="AD14" s="418"/>
      <c r="AE14" s="418"/>
      <c r="AF14" s="418"/>
      <c r="AG14" s="418"/>
      <c r="AH14" s="418"/>
      <c r="AI14" s="418"/>
      <c r="AJ14" s="418"/>
      <c r="AK14" s="418"/>
      <c r="AL14" s="418"/>
      <c r="AM14" s="418"/>
      <c r="AN14" s="418"/>
      <c r="AO14" s="418"/>
      <c r="AP14" s="418"/>
      <c r="AQ14" s="418"/>
      <c r="AR14" s="418"/>
      <c r="AS14" s="418"/>
      <c r="AT14" s="418"/>
      <c r="AU14" s="418"/>
      <c r="AV14" s="418"/>
      <c r="AW14" s="418"/>
      <c r="AX14" s="418"/>
      <c r="AY14" s="418"/>
      <c r="AZ14" s="418"/>
      <c r="BA14" s="418"/>
      <c r="BB14" s="418"/>
      <c r="BC14" s="418"/>
      <c r="BD14" s="418"/>
      <c r="BE14" s="418"/>
      <c r="BF14" s="418"/>
      <c r="BG14" s="418"/>
      <c r="BH14" s="418"/>
      <c r="BI14" s="418"/>
      <c r="BJ14" s="418"/>
      <c r="BK14" s="418"/>
      <c r="BL14" s="418"/>
      <c r="BM14" s="418"/>
      <c r="BN14" s="418"/>
      <c r="BO14" s="418"/>
      <c r="BP14" s="418"/>
      <c r="BQ14" s="418"/>
      <c r="BR14" s="418"/>
      <c r="BS14" s="418"/>
      <c r="BT14" s="418"/>
      <c r="BU14" s="418"/>
      <c r="BV14" s="418"/>
      <c r="BW14" s="418"/>
      <c r="BX14" s="418"/>
      <c r="BY14" s="418"/>
      <c r="BZ14" s="418"/>
      <c r="CA14" s="418"/>
      <c r="CB14" s="418"/>
      <c r="CC14" s="418"/>
      <c r="CD14" s="418"/>
      <c r="CE14" s="418"/>
      <c r="CF14" s="418"/>
      <c r="CG14" s="418"/>
      <c r="CH14" s="418"/>
      <c r="CI14" s="418"/>
      <c r="CJ14" s="418"/>
      <c r="CK14" s="418"/>
      <c r="CL14" s="418"/>
      <c r="CM14" s="418"/>
      <c r="CN14" s="418"/>
      <c r="CO14" s="418"/>
      <c r="CP14" s="418"/>
      <c r="CQ14" s="418"/>
      <c r="CR14" s="418"/>
      <c r="CS14" s="418"/>
      <c r="CT14" s="418"/>
      <c r="CU14" s="418"/>
      <c r="CV14" s="418"/>
      <c r="CW14" s="418"/>
      <c r="CX14" s="418"/>
      <c r="CY14" s="418"/>
      <c r="CZ14" s="418"/>
      <c r="DA14" s="418"/>
      <c r="DB14" s="418"/>
      <c r="DC14" s="418"/>
      <c r="DD14" s="418"/>
      <c r="DE14" s="418"/>
      <c r="DF14" s="418"/>
      <c r="DG14" s="418"/>
      <c r="DH14" s="418"/>
      <c r="DI14" s="418"/>
      <c r="DJ14" s="418"/>
      <c r="DK14" s="418"/>
      <c r="DL14" s="418"/>
      <c r="DM14" s="418"/>
      <c r="DN14" s="418"/>
      <c r="DO14" s="418"/>
      <c r="DP14" s="418"/>
      <c r="DQ14" s="418"/>
      <c r="DR14" s="418"/>
      <c r="DS14" s="418"/>
      <c r="DT14" s="418"/>
    </row>
    <row r="15" spans="1:124" s="20" customFormat="1" ht="28.5" customHeight="1" x14ac:dyDescent="0.25">
      <c r="A15" s="328" t="s">
        <v>375</v>
      </c>
      <c r="B15" s="95">
        <f t="shared" ref="B15:D15" si="3">SUM(B16)</f>
        <v>3468000</v>
      </c>
      <c r="C15" s="95">
        <f t="shared" si="3"/>
        <v>3468000</v>
      </c>
      <c r="D15" s="95">
        <f t="shared" si="3"/>
        <v>3468000</v>
      </c>
      <c r="E15" s="134">
        <f>SUM(E16)</f>
        <v>0</v>
      </c>
      <c r="F15" s="561">
        <f>F16</f>
        <v>0</v>
      </c>
      <c r="G15" s="95">
        <f>SUM(G16)</f>
        <v>0</v>
      </c>
      <c r="H15" s="95">
        <f>SUM(H16)</f>
        <v>0</v>
      </c>
      <c r="I15" s="606">
        <f>SUM(I16)</f>
        <v>0</v>
      </c>
      <c r="J15" s="162"/>
      <c r="K15" s="95">
        <f>K16</f>
        <v>0</v>
      </c>
      <c r="L15" s="95">
        <f>L16</f>
        <v>0</v>
      </c>
      <c r="M15" s="95">
        <f>M16</f>
        <v>0</v>
      </c>
      <c r="N15" s="561">
        <f t="shared" si="1"/>
        <v>3468000</v>
      </c>
      <c r="O15" s="95">
        <f t="shared" si="1"/>
        <v>3468000</v>
      </c>
      <c r="P15" s="95">
        <f t="shared" si="1"/>
        <v>3468000</v>
      </c>
      <c r="Q15" s="606">
        <f t="shared" si="2"/>
        <v>0</v>
      </c>
      <c r="R15" s="156">
        <f>R16</f>
        <v>0</v>
      </c>
      <c r="S15" s="146"/>
      <c r="T15" s="134"/>
      <c r="U15" s="134"/>
      <c r="V15" s="606"/>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420"/>
      <c r="DG15" s="420"/>
      <c r="DH15" s="420"/>
      <c r="DI15" s="420"/>
      <c r="DJ15" s="420"/>
      <c r="DK15" s="420"/>
      <c r="DL15" s="420"/>
      <c r="DM15" s="420"/>
      <c r="DN15" s="420"/>
      <c r="DO15" s="420"/>
      <c r="DP15" s="420"/>
      <c r="DQ15" s="420"/>
      <c r="DR15" s="420"/>
      <c r="DS15" s="420"/>
      <c r="DT15" s="420"/>
    </row>
    <row r="16" spans="1:124" s="19" customFormat="1" ht="25.5" x14ac:dyDescent="0.2">
      <c r="A16" s="327" t="s">
        <v>425</v>
      </c>
      <c r="B16" s="421">
        <v>3468000</v>
      </c>
      <c r="C16" s="130">
        <v>3468000</v>
      </c>
      <c r="D16" s="130">
        <v>3468000</v>
      </c>
      <c r="E16" s="231">
        <f>D16-C16</f>
        <v>0</v>
      </c>
      <c r="F16" s="560"/>
      <c r="G16" s="231"/>
      <c r="H16" s="231"/>
      <c r="I16" s="132">
        <f>H16-G16</f>
        <v>0</v>
      </c>
      <c r="J16" s="162"/>
      <c r="K16" s="130"/>
      <c r="L16" s="130"/>
      <c r="M16" s="130"/>
      <c r="N16" s="560">
        <f t="shared" si="1"/>
        <v>3468000</v>
      </c>
      <c r="O16" s="130">
        <f t="shared" si="1"/>
        <v>3468000</v>
      </c>
      <c r="P16" s="130">
        <f t="shared" si="1"/>
        <v>3468000</v>
      </c>
      <c r="Q16" s="132">
        <f t="shared" si="2"/>
        <v>0</v>
      </c>
      <c r="R16" s="161"/>
      <c r="S16" s="147"/>
      <c r="T16" s="231"/>
      <c r="U16" s="231"/>
      <c r="V16" s="132"/>
      <c r="W16" s="418"/>
      <c r="X16" s="418"/>
      <c r="Y16" s="418"/>
      <c r="Z16" s="418"/>
      <c r="AA16" s="418"/>
      <c r="AB16" s="418"/>
      <c r="AC16" s="418"/>
      <c r="AD16" s="418"/>
      <c r="AE16" s="418"/>
      <c r="AF16" s="418"/>
      <c r="AG16" s="418"/>
      <c r="AH16" s="418"/>
      <c r="AI16" s="418"/>
      <c r="AJ16" s="418"/>
      <c r="AK16" s="418"/>
      <c r="AL16" s="418"/>
      <c r="AM16" s="418"/>
      <c r="AN16" s="418"/>
      <c r="AO16" s="418"/>
      <c r="AP16" s="418"/>
      <c r="AQ16" s="418"/>
      <c r="AR16" s="418"/>
      <c r="AS16" s="418"/>
      <c r="AT16" s="418"/>
      <c r="AU16" s="418"/>
      <c r="AV16" s="418"/>
      <c r="AW16" s="418"/>
      <c r="AX16" s="418"/>
      <c r="AY16" s="418"/>
      <c r="AZ16" s="418"/>
      <c r="BA16" s="418"/>
      <c r="BB16" s="418"/>
      <c r="BC16" s="418"/>
      <c r="BD16" s="418"/>
      <c r="BE16" s="418"/>
      <c r="BF16" s="418"/>
      <c r="BG16" s="418"/>
      <c r="BH16" s="418"/>
      <c r="BI16" s="418"/>
      <c r="BJ16" s="418"/>
      <c r="BK16" s="418"/>
      <c r="BL16" s="418"/>
      <c r="BM16" s="418"/>
      <c r="BN16" s="418"/>
      <c r="BO16" s="418"/>
      <c r="BP16" s="418"/>
      <c r="BQ16" s="418"/>
      <c r="BR16" s="418"/>
      <c r="BS16" s="418"/>
      <c r="BT16" s="418"/>
      <c r="BU16" s="418"/>
      <c r="BV16" s="418"/>
      <c r="BW16" s="418"/>
      <c r="BX16" s="418"/>
      <c r="BY16" s="418"/>
      <c r="BZ16" s="418"/>
      <c r="CA16" s="418"/>
      <c r="CB16" s="418"/>
      <c r="CC16" s="418"/>
      <c r="CD16" s="418"/>
      <c r="CE16" s="418"/>
      <c r="CF16" s="418"/>
      <c r="CG16" s="418"/>
      <c r="CH16" s="418"/>
      <c r="CI16" s="418"/>
      <c r="CJ16" s="418"/>
      <c r="CK16" s="418"/>
      <c r="CL16" s="418"/>
      <c r="CM16" s="418"/>
      <c r="CN16" s="418"/>
      <c r="CO16" s="418"/>
      <c r="CP16" s="418"/>
      <c r="CQ16" s="418"/>
      <c r="CR16" s="418"/>
      <c r="CS16" s="418"/>
      <c r="CT16" s="418"/>
      <c r="CU16" s="418"/>
      <c r="CV16" s="418"/>
      <c r="CW16" s="418"/>
      <c r="CX16" s="418"/>
      <c r="CY16" s="418"/>
      <c r="CZ16" s="418"/>
      <c r="DA16" s="418"/>
      <c r="DB16" s="418"/>
      <c r="DC16" s="418"/>
      <c r="DD16" s="418"/>
      <c r="DE16" s="418"/>
      <c r="DF16" s="418"/>
      <c r="DG16" s="418"/>
      <c r="DH16" s="418"/>
      <c r="DI16" s="418"/>
      <c r="DJ16" s="418"/>
      <c r="DK16" s="418"/>
      <c r="DL16" s="418"/>
      <c r="DM16" s="418"/>
      <c r="DN16" s="418"/>
      <c r="DO16" s="418"/>
      <c r="DP16" s="418"/>
      <c r="DQ16" s="418"/>
      <c r="DR16" s="418"/>
      <c r="DS16" s="418"/>
      <c r="DT16" s="418"/>
    </row>
    <row r="17" spans="1:124" s="20" customFormat="1" ht="15" x14ac:dyDescent="0.25">
      <c r="A17" s="329" t="s">
        <v>46</v>
      </c>
      <c r="B17" s="422"/>
      <c r="C17" s="95"/>
      <c r="D17" s="95"/>
      <c r="E17" s="134"/>
      <c r="F17" s="561"/>
      <c r="G17" s="134"/>
      <c r="H17" s="134"/>
      <c r="I17" s="606"/>
      <c r="J17" s="156"/>
      <c r="K17" s="95"/>
      <c r="L17" s="95"/>
      <c r="M17" s="95"/>
      <c r="N17" s="146">
        <f>B17+F17+J17</f>
        <v>0</v>
      </c>
      <c r="O17" s="134"/>
      <c r="P17" s="134"/>
      <c r="Q17" s="606"/>
      <c r="R17" s="156" t="e">
        <f>#REF!+#REF!+#REF!+#REF!+#REF!</f>
        <v>#REF!</v>
      </c>
      <c r="S17" s="166">
        <f>SUM(S18:S20)</f>
        <v>0</v>
      </c>
      <c r="T17" s="73">
        <f>SUM(T18:T20)</f>
        <v>0</v>
      </c>
      <c r="U17" s="73">
        <f>SUM(U18:U20)</f>
        <v>0</v>
      </c>
      <c r="V17" s="724">
        <f>SUM(V18:V20)</f>
        <v>0</v>
      </c>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420"/>
      <c r="DG17" s="420"/>
      <c r="DH17" s="420"/>
      <c r="DI17" s="420"/>
      <c r="DJ17" s="420"/>
      <c r="DK17" s="420"/>
      <c r="DL17" s="420"/>
      <c r="DM17" s="420"/>
      <c r="DN17" s="420"/>
      <c r="DO17" s="420"/>
      <c r="DP17" s="420"/>
      <c r="DQ17" s="420"/>
      <c r="DR17" s="420"/>
      <c r="DS17" s="420"/>
      <c r="DT17" s="420"/>
    </row>
    <row r="18" spans="1:124" s="19" customFormat="1" x14ac:dyDescent="0.2">
      <c r="A18" s="327" t="s">
        <v>426</v>
      </c>
      <c r="B18" s="421"/>
      <c r="C18" s="130"/>
      <c r="D18" s="130"/>
      <c r="E18" s="231"/>
      <c r="F18" s="560"/>
      <c r="G18" s="231"/>
      <c r="H18" s="231"/>
      <c r="I18" s="132"/>
      <c r="J18" s="162"/>
      <c r="K18" s="130"/>
      <c r="L18" s="130"/>
      <c r="M18" s="130"/>
      <c r="N18" s="147">
        <f>B18+F18+J18</f>
        <v>0</v>
      </c>
      <c r="O18" s="231"/>
      <c r="P18" s="231"/>
      <c r="Q18" s="132"/>
      <c r="R18" s="162" t="e">
        <f>#REF!+#REF!+#REF!+#REF!+#REF!+#REF!+#REF!+#REF!+#REF!+#REF!+#REF!+#REF!+#REF!+#REF!+#REF!</f>
        <v>#REF!</v>
      </c>
      <c r="S18" s="147"/>
      <c r="T18" s="231"/>
      <c r="U18" s="231"/>
      <c r="V18" s="132"/>
      <c r="W18" s="418"/>
      <c r="X18" s="418"/>
      <c r="Y18" s="418"/>
      <c r="Z18" s="418"/>
      <c r="AA18" s="418"/>
      <c r="AB18" s="418"/>
      <c r="AC18" s="418"/>
      <c r="AD18" s="418"/>
      <c r="AE18" s="418"/>
      <c r="AF18" s="418"/>
      <c r="AG18" s="418"/>
      <c r="AH18" s="418"/>
      <c r="AI18" s="418"/>
      <c r="AJ18" s="418"/>
      <c r="AK18" s="418"/>
      <c r="AL18" s="418"/>
      <c r="AM18" s="418"/>
      <c r="AN18" s="418"/>
      <c r="AO18" s="418"/>
      <c r="AP18" s="418"/>
      <c r="AQ18" s="418"/>
      <c r="AR18" s="418"/>
      <c r="AS18" s="418"/>
      <c r="AT18" s="418"/>
      <c r="AU18" s="418"/>
      <c r="AV18" s="418"/>
      <c r="AW18" s="418"/>
      <c r="AX18" s="418"/>
      <c r="AY18" s="418"/>
      <c r="AZ18" s="418"/>
      <c r="BA18" s="418"/>
      <c r="BB18" s="418"/>
      <c r="BC18" s="418"/>
      <c r="BD18" s="418"/>
      <c r="BE18" s="418"/>
      <c r="BF18" s="418"/>
      <c r="BG18" s="418"/>
      <c r="BH18" s="418"/>
      <c r="BI18" s="418"/>
      <c r="BJ18" s="418"/>
      <c r="BK18" s="418"/>
      <c r="BL18" s="418"/>
      <c r="BM18" s="418"/>
      <c r="BN18" s="418"/>
      <c r="BO18" s="418"/>
      <c r="BP18" s="418"/>
      <c r="BQ18" s="418"/>
      <c r="BR18" s="418"/>
      <c r="BS18" s="418"/>
      <c r="BT18" s="418"/>
      <c r="BU18" s="418"/>
      <c r="BV18" s="418"/>
      <c r="BW18" s="418"/>
      <c r="BX18" s="418"/>
      <c r="BY18" s="418"/>
      <c r="BZ18" s="418"/>
      <c r="CA18" s="418"/>
      <c r="CB18" s="418"/>
      <c r="CC18" s="418"/>
      <c r="CD18" s="418"/>
      <c r="CE18" s="418"/>
      <c r="CF18" s="418"/>
      <c r="CG18" s="418"/>
      <c r="CH18" s="418"/>
      <c r="CI18" s="418"/>
      <c r="CJ18" s="418"/>
      <c r="CK18" s="418"/>
      <c r="CL18" s="418"/>
      <c r="CM18" s="418"/>
      <c r="CN18" s="418"/>
      <c r="CO18" s="418"/>
      <c r="CP18" s="418"/>
      <c r="CQ18" s="418"/>
      <c r="CR18" s="418"/>
      <c r="CS18" s="418"/>
      <c r="CT18" s="418"/>
      <c r="CU18" s="418"/>
      <c r="CV18" s="418"/>
      <c r="CW18" s="418"/>
      <c r="CX18" s="418"/>
      <c r="CY18" s="418"/>
      <c r="CZ18" s="418"/>
      <c r="DA18" s="418"/>
      <c r="DB18" s="418"/>
      <c r="DC18" s="418"/>
      <c r="DD18" s="418"/>
      <c r="DE18" s="418"/>
      <c r="DF18" s="418"/>
      <c r="DG18" s="418"/>
      <c r="DH18" s="418"/>
      <c r="DI18" s="418"/>
      <c r="DJ18" s="418"/>
      <c r="DK18" s="418"/>
      <c r="DL18" s="418"/>
      <c r="DM18" s="418"/>
      <c r="DN18" s="418"/>
      <c r="DO18" s="418"/>
      <c r="DP18" s="418"/>
      <c r="DQ18" s="418"/>
      <c r="DR18" s="418"/>
      <c r="DS18" s="418"/>
      <c r="DT18" s="418"/>
    </row>
    <row r="19" spans="1:124" s="19" customFormat="1" x14ac:dyDescent="0.2">
      <c r="A19" s="327" t="s">
        <v>429</v>
      </c>
      <c r="B19" s="421"/>
      <c r="C19" s="130"/>
      <c r="D19" s="130"/>
      <c r="E19" s="231"/>
      <c r="F19" s="560"/>
      <c r="G19" s="231"/>
      <c r="H19" s="231"/>
      <c r="I19" s="132"/>
      <c r="J19" s="162"/>
      <c r="K19" s="130"/>
      <c r="L19" s="130"/>
      <c r="M19" s="130"/>
      <c r="N19" s="147">
        <f>B19+F19+J19</f>
        <v>0</v>
      </c>
      <c r="O19" s="231"/>
      <c r="P19" s="231"/>
      <c r="Q19" s="132"/>
      <c r="R19" s="161"/>
      <c r="S19" s="147"/>
      <c r="T19" s="231"/>
      <c r="U19" s="231"/>
      <c r="V19" s="132"/>
      <c r="W19" s="418"/>
      <c r="X19" s="418"/>
      <c r="Y19" s="418"/>
      <c r="Z19" s="418"/>
      <c r="AA19" s="418"/>
      <c r="AB19" s="418"/>
      <c r="AC19" s="418"/>
      <c r="AD19" s="418"/>
      <c r="AE19" s="418"/>
      <c r="AF19" s="418"/>
      <c r="AG19" s="418"/>
      <c r="AH19" s="418"/>
      <c r="AI19" s="418"/>
      <c r="AJ19" s="418"/>
      <c r="AK19" s="418"/>
      <c r="AL19" s="418"/>
      <c r="AM19" s="418"/>
      <c r="AN19" s="418"/>
      <c r="AO19" s="418"/>
      <c r="AP19" s="418"/>
      <c r="AQ19" s="418"/>
      <c r="AR19" s="418"/>
      <c r="AS19" s="418"/>
      <c r="AT19" s="418"/>
      <c r="AU19" s="418"/>
      <c r="AV19" s="418"/>
      <c r="AW19" s="418"/>
      <c r="AX19" s="418"/>
      <c r="AY19" s="418"/>
      <c r="AZ19" s="418"/>
      <c r="BA19" s="418"/>
      <c r="BB19" s="418"/>
      <c r="BC19" s="418"/>
      <c r="BD19" s="418"/>
      <c r="BE19" s="418"/>
      <c r="BF19" s="418"/>
      <c r="BG19" s="418"/>
      <c r="BH19" s="418"/>
      <c r="BI19" s="418"/>
      <c r="BJ19" s="418"/>
      <c r="BK19" s="418"/>
      <c r="BL19" s="418"/>
      <c r="BM19" s="418"/>
      <c r="BN19" s="418"/>
      <c r="BO19" s="418"/>
      <c r="BP19" s="418"/>
      <c r="BQ19" s="418"/>
      <c r="BR19" s="418"/>
      <c r="BS19" s="418"/>
      <c r="BT19" s="418"/>
      <c r="BU19" s="418"/>
      <c r="BV19" s="418"/>
      <c r="BW19" s="418"/>
      <c r="BX19" s="418"/>
      <c r="BY19" s="418"/>
      <c r="BZ19" s="418"/>
      <c r="CA19" s="418"/>
      <c r="CB19" s="418"/>
      <c r="CC19" s="418"/>
      <c r="CD19" s="418"/>
      <c r="CE19" s="418"/>
      <c r="CF19" s="418"/>
      <c r="CG19" s="418"/>
      <c r="CH19" s="418"/>
      <c r="CI19" s="418"/>
      <c r="CJ19" s="418"/>
      <c r="CK19" s="418"/>
      <c r="CL19" s="418"/>
      <c r="CM19" s="418"/>
      <c r="CN19" s="418"/>
      <c r="CO19" s="418"/>
      <c r="CP19" s="418"/>
      <c r="CQ19" s="418"/>
      <c r="CR19" s="418"/>
      <c r="CS19" s="418"/>
      <c r="CT19" s="418"/>
      <c r="CU19" s="418"/>
      <c r="CV19" s="418"/>
      <c r="CW19" s="418"/>
      <c r="CX19" s="418"/>
      <c r="CY19" s="418"/>
      <c r="CZ19" s="418"/>
      <c r="DA19" s="418"/>
      <c r="DB19" s="418"/>
      <c r="DC19" s="418"/>
      <c r="DD19" s="418"/>
      <c r="DE19" s="418"/>
      <c r="DF19" s="418"/>
      <c r="DG19" s="418"/>
      <c r="DH19" s="418"/>
      <c r="DI19" s="418"/>
      <c r="DJ19" s="418"/>
      <c r="DK19" s="418"/>
      <c r="DL19" s="418"/>
      <c r="DM19" s="418"/>
      <c r="DN19" s="418"/>
      <c r="DO19" s="418"/>
      <c r="DP19" s="418"/>
      <c r="DQ19" s="418"/>
      <c r="DR19" s="418"/>
      <c r="DS19" s="418"/>
      <c r="DT19" s="418"/>
    </row>
    <row r="20" spans="1:124" s="19" customFormat="1" ht="15" customHeight="1" x14ac:dyDescent="0.2">
      <c r="A20" s="327" t="s">
        <v>435</v>
      </c>
      <c r="B20" s="421"/>
      <c r="C20" s="130"/>
      <c r="D20" s="130"/>
      <c r="E20" s="231"/>
      <c r="F20" s="560"/>
      <c r="G20" s="231"/>
      <c r="H20" s="231"/>
      <c r="I20" s="132"/>
      <c r="J20" s="162"/>
      <c r="K20" s="130"/>
      <c r="L20" s="130"/>
      <c r="M20" s="130"/>
      <c r="N20" s="147">
        <f>B20+F20+J20</f>
        <v>0</v>
      </c>
      <c r="O20" s="231"/>
      <c r="P20" s="231"/>
      <c r="Q20" s="132"/>
      <c r="R20" s="161"/>
      <c r="S20" s="147"/>
      <c r="T20" s="231"/>
      <c r="U20" s="231"/>
      <c r="V20" s="132">
        <f>U20-T20</f>
        <v>0</v>
      </c>
      <c r="W20" s="418"/>
      <c r="X20" s="418"/>
      <c r="Y20" s="418"/>
      <c r="Z20" s="418"/>
      <c r="AA20" s="418"/>
      <c r="AB20" s="418"/>
      <c r="AC20" s="418"/>
      <c r="AD20" s="418"/>
      <c r="AE20" s="418"/>
      <c r="AF20" s="418"/>
      <c r="AG20" s="418"/>
      <c r="AH20" s="418"/>
      <c r="AI20" s="418"/>
      <c r="AJ20" s="418"/>
      <c r="AK20" s="418"/>
      <c r="AL20" s="418"/>
      <c r="AM20" s="418"/>
      <c r="AN20" s="418"/>
      <c r="AO20" s="418"/>
      <c r="AP20" s="418"/>
      <c r="AQ20" s="418"/>
      <c r="AR20" s="418"/>
      <c r="AS20" s="418"/>
      <c r="AT20" s="418"/>
      <c r="AU20" s="418"/>
      <c r="AV20" s="418"/>
      <c r="AW20" s="418"/>
      <c r="AX20" s="418"/>
      <c r="AY20" s="418"/>
      <c r="AZ20" s="418"/>
      <c r="BA20" s="418"/>
      <c r="BB20" s="418"/>
      <c r="BC20" s="418"/>
      <c r="BD20" s="418"/>
      <c r="BE20" s="418"/>
      <c r="BF20" s="418"/>
      <c r="BG20" s="418"/>
      <c r="BH20" s="418"/>
      <c r="BI20" s="418"/>
      <c r="BJ20" s="418"/>
      <c r="BK20" s="418"/>
      <c r="BL20" s="418"/>
      <c r="BM20" s="418"/>
      <c r="BN20" s="418"/>
      <c r="BO20" s="418"/>
      <c r="BP20" s="418"/>
      <c r="BQ20" s="418"/>
      <c r="BR20" s="418"/>
      <c r="BS20" s="418"/>
      <c r="BT20" s="418"/>
      <c r="BU20" s="418"/>
      <c r="BV20" s="418"/>
      <c r="BW20" s="418"/>
      <c r="BX20" s="418"/>
      <c r="BY20" s="418"/>
      <c r="BZ20" s="418"/>
      <c r="CA20" s="418"/>
      <c r="CB20" s="418"/>
      <c r="CC20" s="418"/>
      <c r="CD20" s="418"/>
      <c r="CE20" s="418"/>
      <c r="CF20" s="418"/>
      <c r="CG20" s="418"/>
      <c r="CH20" s="418"/>
      <c r="CI20" s="418"/>
      <c r="CJ20" s="418"/>
      <c r="CK20" s="418"/>
      <c r="CL20" s="418"/>
      <c r="CM20" s="418"/>
      <c r="CN20" s="418"/>
      <c r="CO20" s="418"/>
      <c r="CP20" s="418"/>
      <c r="CQ20" s="418"/>
      <c r="CR20" s="418"/>
      <c r="CS20" s="418"/>
      <c r="CT20" s="418"/>
      <c r="CU20" s="418"/>
      <c r="CV20" s="418"/>
      <c r="CW20" s="418"/>
      <c r="CX20" s="418"/>
      <c r="CY20" s="418"/>
      <c r="CZ20" s="418"/>
      <c r="DA20" s="418"/>
      <c r="DB20" s="418"/>
      <c r="DC20" s="418"/>
      <c r="DD20" s="418"/>
      <c r="DE20" s="418"/>
      <c r="DF20" s="418"/>
      <c r="DG20" s="418"/>
      <c r="DH20" s="418"/>
      <c r="DI20" s="418"/>
      <c r="DJ20" s="418"/>
      <c r="DK20" s="418"/>
      <c r="DL20" s="418"/>
      <c r="DM20" s="418"/>
      <c r="DN20" s="418"/>
      <c r="DO20" s="418"/>
      <c r="DP20" s="418"/>
      <c r="DQ20" s="418"/>
      <c r="DR20" s="418"/>
      <c r="DS20" s="418"/>
      <c r="DT20" s="418"/>
    </row>
    <row r="21" spans="1:124" s="24" customFormat="1" ht="15" x14ac:dyDescent="0.25">
      <c r="A21" s="329" t="s">
        <v>436</v>
      </c>
      <c r="B21" s="95">
        <f t="shared" ref="B21:D21" si="4">B22+B23+B25+B26+B27+B28+B29+B30+B33</f>
        <v>2559000</v>
      </c>
      <c r="C21" s="95">
        <f t="shared" ref="C21" si="5">C22+C23+C25+C26+C27+C28+C29+C30+C33</f>
        <v>2019000</v>
      </c>
      <c r="D21" s="95">
        <f t="shared" si="4"/>
        <v>2019000</v>
      </c>
      <c r="E21" s="134">
        <f t="shared" ref="E21:R21" si="6">E22+E23+E25+E26+E27+E28+E29+E30+E33</f>
        <v>0</v>
      </c>
      <c r="F21" s="561">
        <f t="shared" ref="F21:H21" si="7">F22+F23+F25+F26+F27+F28+F29+F30+F33</f>
        <v>45160000</v>
      </c>
      <c r="G21" s="134">
        <f t="shared" ref="G21" si="8">G22+G23+G25+G26+G27+G28+G29+G30+G33</f>
        <v>45160000</v>
      </c>
      <c r="H21" s="134">
        <f t="shared" si="7"/>
        <v>45160000</v>
      </c>
      <c r="I21" s="606">
        <f t="shared" si="6"/>
        <v>0</v>
      </c>
      <c r="J21" s="156">
        <f>J22+J23+J25+J26+J27+J28+J29+J30+J33</f>
        <v>2484593</v>
      </c>
      <c r="K21" s="95">
        <f>K22+K23+K25+K26+K27+K28+K29+K30+K33</f>
        <v>2214593</v>
      </c>
      <c r="L21" s="95">
        <f>L22+L23+L25+L26+L27+L28+L29+L30+L33</f>
        <v>2214593</v>
      </c>
      <c r="M21" s="95">
        <f t="shared" si="6"/>
        <v>0</v>
      </c>
      <c r="N21" s="146">
        <f t="shared" si="6"/>
        <v>50203593</v>
      </c>
      <c r="O21" s="95">
        <f t="shared" si="6"/>
        <v>49393593</v>
      </c>
      <c r="P21" s="95">
        <f t="shared" ref="P21" si="9">P22+P23+P25+P26+P27+P28+P29+P30+P33</f>
        <v>49393593</v>
      </c>
      <c r="Q21" s="606">
        <f t="shared" si="6"/>
        <v>0</v>
      </c>
      <c r="R21" s="156" t="e">
        <f t="shared" si="6"/>
        <v>#REF!</v>
      </c>
      <c r="S21" s="167">
        <f t="shared" ref="S21:V21" si="10">S22+S23+S25+S26+S27+S28+S29+S30+S33</f>
        <v>33410443</v>
      </c>
      <c r="T21" s="133">
        <f t="shared" si="10"/>
        <v>33410443</v>
      </c>
      <c r="U21" s="133">
        <f t="shared" ref="U21" si="11">U22+U23+U25+U26+U27+U28+U29+U30+U33</f>
        <v>33209750</v>
      </c>
      <c r="V21" s="725">
        <f t="shared" si="10"/>
        <v>-200693</v>
      </c>
      <c r="W21" s="423"/>
      <c r="X21" s="423"/>
      <c r="Y21" s="423"/>
      <c r="Z21" s="419"/>
      <c r="AA21" s="419"/>
      <c r="AB21" s="419"/>
      <c r="AC21" s="419"/>
      <c r="AD21" s="419"/>
      <c r="AE21" s="419"/>
      <c r="AF21" s="419"/>
      <c r="AG21" s="419"/>
      <c r="AH21" s="419"/>
      <c r="AI21" s="419"/>
      <c r="AJ21" s="419"/>
      <c r="AK21" s="419"/>
      <c r="AL21" s="419"/>
      <c r="AM21" s="419"/>
      <c r="AN21" s="419"/>
      <c r="AO21" s="419"/>
      <c r="AP21" s="419"/>
      <c r="AQ21" s="419"/>
      <c r="AR21" s="419"/>
      <c r="AS21" s="419"/>
      <c r="AT21" s="419"/>
      <c r="AU21" s="419"/>
      <c r="AV21" s="419"/>
      <c r="AW21" s="419"/>
      <c r="AX21" s="419"/>
      <c r="AY21" s="419"/>
      <c r="AZ21" s="419"/>
      <c r="BA21" s="419"/>
      <c r="BB21" s="419"/>
      <c r="BC21" s="419"/>
      <c r="BD21" s="419"/>
      <c r="BE21" s="419"/>
      <c r="BF21" s="419"/>
      <c r="BG21" s="419"/>
      <c r="BH21" s="419"/>
      <c r="BI21" s="419"/>
      <c r="BJ21" s="419"/>
      <c r="BK21" s="419"/>
      <c r="BL21" s="419"/>
      <c r="BM21" s="419"/>
      <c r="BN21" s="419"/>
      <c r="BO21" s="419"/>
      <c r="BP21" s="419"/>
      <c r="BQ21" s="419"/>
      <c r="BR21" s="419"/>
      <c r="BS21" s="419"/>
      <c r="BT21" s="419"/>
      <c r="BU21" s="419"/>
      <c r="BV21" s="419"/>
      <c r="BW21" s="419"/>
      <c r="BX21" s="419"/>
      <c r="BY21" s="419"/>
      <c r="BZ21" s="419"/>
      <c r="CA21" s="419"/>
      <c r="CB21" s="419"/>
      <c r="CC21" s="419"/>
      <c r="CD21" s="419"/>
      <c r="CE21" s="419"/>
      <c r="CF21" s="419"/>
      <c r="CG21" s="419"/>
      <c r="CH21" s="419"/>
      <c r="CI21" s="419"/>
      <c r="CJ21" s="419"/>
      <c r="CK21" s="419"/>
      <c r="CL21" s="419"/>
      <c r="CM21" s="419"/>
      <c r="CN21" s="419"/>
      <c r="CO21" s="419"/>
      <c r="CP21" s="419"/>
      <c r="CQ21" s="419"/>
      <c r="CR21" s="419"/>
      <c r="CS21" s="419"/>
      <c r="CT21" s="419"/>
      <c r="CU21" s="419"/>
      <c r="CV21" s="419"/>
      <c r="CW21" s="419"/>
      <c r="CX21" s="419"/>
      <c r="CY21" s="419"/>
      <c r="CZ21" s="419"/>
      <c r="DA21" s="419"/>
      <c r="DB21" s="419"/>
      <c r="DC21" s="419"/>
      <c r="DD21" s="419"/>
      <c r="DE21" s="419"/>
      <c r="DF21" s="419"/>
      <c r="DG21" s="419"/>
      <c r="DH21" s="419"/>
      <c r="DI21" s="419"/>
      <c r="DJ21" s="419"/>
      <c r="DK21" s="419"/>
      <c r="DL21" s="419"/>
      <c r="DM21" s="419"/>
      <c r="DN21" s="419"/>
      <c r="DO21" s="419"/>
      <c r="DP21" s="419"/>
      <c r="DQ21" s="419"/>
      <c r="DR21" s="419"/>
      <c r="DS21" s="419"/>
      <c r="DT21" s="419"/>
    </row>
    <row r="22" spans="1:124" s="25" customFormat="1" ht="17.45" customHeight="1" x14ac:dyDescent="0.2">
      <c r="A22" s="330" t="s">
        <v>358</v>
      </c>
      <c r="B22" s="421"/>
      <c r="C22" s="130"/>
      <c r="D22" s="130"/>
      <c r="E22" s="231"/>
      <c r="F22" s="560"/>
      <c r="G22" s="231"/>
      <c r="H22" s="231"/>
      <c r="I22" s="132"/>
      <c r="J22" s="162"/>
      <c r="K22" s="130"/>
      <c r="L22" s="130"/>
      <c r="M22" s="130"/>
      <c r="N22" s="147">
        <f t="shared" ref="N22:N33" si="12">B22+F22+J22</f>
        <v>0</v>
      </c>
      <c r="O22" s="231"/>
      <c r="P22" s="231"/>
      <c r="Q22" s="132"/>
      <c r="R22" s="162" t="e">
        <f>#REF!+#REF!+#REF!+#REF!+#REF!</f>
        <v>#REF!</v>
      </c>
      <c r="S22" s="147"/>
      <c r="T22" s="231"/>
      <c r="U22" s="231"/>
      <c r="V22" s="132"/>
      <c r="W22" s="424"/>
      <c r="X22" s="424"/>
      <c r="Y22" s="424"/>
      <c r="Z22" s="424"/>
      <c r="AA22" s="424"/>
      <c r="AB22" s="424"/>
      <c r="AC22" s="424"/>
      <c r="AD22" s="424"/>
      <c r="AE22" s="424"/>
      <c r="AF22" s="424"/>
      <c r="AG22" s="424"/>
      <c r="AH22" s="424"/>
      <c r="AI22" s="424"/>
      <c r="AJ22" s="424"/>
      <c r="AK22" s="424"/>
      <c r="AL22" s="424"/>
      <c r="AM22" s="424"/>
      <c r="AN22" s="424"/>
      <c r="AO22" s="424"/>
      <c r="AP22" s="424"/>
      <c r="AQ22" s="424"/>
      <c r="AR22" s="424"/>
      <c r="AS22" s="424"/>
      <c r="AT22" s="424"/>
      <c r="AU22" s="424"/>
      <c r="AV22" s="424"/>
      <c r="AW22" s="424"/>
      <c r="AX22" s="424"/>
      <c r="AY22" s="424"/>
      <c r="AZ22" s="424"/>
      <c r="BA22" s="424"/>
      <c r="BB22" s="424"/>
      <c r="BC22" s="424"/>
      <c r="BD22" s="424"/>
      <c r="BE22" s="424"/>
      <c r="BF22" s="424"/>
      <c r="BG22" s="424"/>
      <c r="BH22" s="424"/>
      <c r="BI22" s="424"/>
      <c r="BJ22" s="424"/>
      <c r="BK22" s="424"/>
      <c r="BL22" s="424"/>
      <c r="BM22" s="424"/>
      <c r="BN22" s="424"/>
      <c r="BO22" s="424"/>
      <c r="BP22" s="424"/>
      <c r="BQ22" s="424"/>
      <c r="BR22" s="424"/>
      <c r="BS22" s="424"/>
      <c r="BT22" s="424"/>
      <c r="BU22" s="424"/>
      <c r="BV22" s="424"/>
      <c r="BW22" s="424"/>
      <c r="BX22" s="424"/>
      <c r="BY22" s="424"/>
      <c r="BZ22" s="424"/>
      <c r="CA22" s="424"/>
      <c r="CB22" s="424"/>
      <c r="CC22" s="424"/>
      <c r="CD22" s="424"/>
      <c r="CE22" s="424"/>
      <c r="CF22" s="424"/>
      <c r="CG22" s="424"/>
      <c r="CH22" s="424"/>
      <c r="CI22" s="424"/>
      <c r="CJ22" s="424"/>
      <c r="CK22" s="424"/>
      <c r="CL22" s="424"/>
      <c r="CM22" s="424"/>
      <c r="CN22" s="424"/>
      <c r="CO22" s="424"/>
      <c r="CP22" s="424"/>
      <c r="CQ22" s="424"/>
      <c r="CR22" s="424"/>
      <c r="CS22" s="424"/>
      <c r="CT22" s="424"/>
      <c r="CU22" s="424"/>
      <c r="CV22" s="424"/>
      <c r="CW22" s="424"/>
      <c r="CX22" s="424"/>
      <c r="CY22" s="424"/>
      <c r="CZ22" s="424"/>
      <c r="DA22" s="424"/>
      <c r="DB22" s="424"/>
      <c r="DC22" s="424"/>
      <c r="DD22" s="424"/>
      <c r="DE22" s="424"/>
      <c r="DF22" s="424"/>
      <c r="DG22" s="424"/>
      <c r="DH22" s="424"/>
      <c r="DI22" s="424"/>
      <c r="DJ22" s="424"/>
      <c r="DK22" s="424"/>
      <c r="DL22" s="424"/>
      <c r="DM22" s="424"/>
      <c r="DN22" s="424"/>
      <c r="DO22" s="424"/>
      <c r="DP22" s="424"/>
      <c r="DQ22" s="424"/>
      <c r="DR22" s="424"/>
      <c r="DS22" s="424"/>
      <c r="DT22" s="424"/>
    </row>
    <row r="23" spans="1:124" s="26" customFormat="1" ht="17.45" customHeight="1" x14ac:dyDescent="0.2">
      <c r="A23" s="330" t="s">
        <v>359</v>
      </c>
      <c r="B23" s="421">
        <v>1999213</v>
      </c>
      <c r="C23" s="130">
        <v>1574016</v>
      </c>
      <c r="D23" s="130">
        <v>1574016</v>
      </c>
      <c r="E23" s="231">
        <f>D23-C23</f>
        <v>0</v>
      </c>
      <c r="F23" s="560">
        <f>40560000+550000+4050000</f>
        <v>45160000</v>
      </c>
      <c r="G23" s="231">
        <v>45160000</v>
      </c>
      <c r="H23" s="231">
        <v>45160000</v>
      </c>
      <c r="I23" s="132">
        <f>H23-G23</f>
        <v>0</v>
      </c>
      <c r="J23" s="162"/>
      <c r="K23" s="130"/>
      <c r="L23" s="130"/>
      <c r="M23" s="130"/>
      <c r="N23" s="147">
        <f t="shared" si="12"/>
        <v>47159213</v>
      </c>
      <c r="O23" s="130">
        <f t="shared" ref="O23:P26" si="13">C23+G23+K23</f>
        <v>46734016</v>
      </c>
      <c r="P23" s="130">
        <f t="shared" si="13"/>
        <v>46734016</v>
      </c>
      <c r="Q23" s="132">
        <f t="shared" ref="Q23:Q33" si="14">E23+I23+M23</f>
        <v>0</v>
      </c>
      <c r="R23" s="162" t="e">
        <f>#REF!+#REF!+#REF!+#REF!+#REF!</f>
        <v>#REF!</v>
      </c>
      <c r="S23" s="231">
        <v>23800000</v>
      </c>
      <c r="T23" s="231">
        <v>23800000</v>
      </c>
      <c r="U23" s="231">
        <v>23800000</v>
      </c>
      <c r="V23" s="132">
        <f>U23-T23</f>
        <v>0</v>
      </c>
      <c r="W23" s="425"/>
      <c r="X23" s="425"/>
      <c r="Y23" s="425"/>
      <c r="Z23" s="425"/>
      <c r="AA23" s="425"/>
      <c r="AB23" s="425"/>
      <c r="AC23" s="425"/>
      <c r="AD23" s="425"/>
      <c r="AE23" s="425"/>
      <c r="AF23" s="425"/>
      <c r="AG23" s="425"/>
      <c r="AH23" s="425"/>
      <c r="AI23" s="425"/>
      <c r="AJ23" s="425"/>
      <c r="AK23" s="425"/>
      <c r="AL23" s="425"/>
      <c r="AM23" s="425"/>
      <c r="AN23" s="425"/>
      <c r="AO23" s="425"/>
      <c r="AP23" s="425"/>
      <c r="AQ23" s="425"/>
      <c r="AR23" s="425"/>
      <c r="AS23" s="425"/>
      <c r="AT23" s="425"/>
      <c r="AU23" s="425"/>
      <c r="AV23" s="425"/>
      <c r="AW23" s="425"/>
      <c r="AX23" s="425"/>
      <c r="AY23" s="425"/>
      <c r="AZ23" s="425"/>
      <c r="BA23" s="425"/>
      <c r="BB23" s="425"/>
      <c r="BC23" s="425"/>
      <c r="BD23" s="425"/>
      <c r="BE23" s="425"/>
      <c r="BF23" s="425"/>
      <c r="BG23" s="425"/>
      <c r="BH23" s="425"/>
      <c r="BI23" s="425"/>
      <c r="BJ23" s="425"/>
      <c r="BK23" s="425"/>
      <c r="BL23" s="425"/>
      <c r="BM23" s="425"/>
      <c r="BN23" s="425"/>
      <c r="BO23" s="425"/>
      <c r="BP23" s="425"/>
      <c r="BQ23" s="425"/>
      <c r="BR23" s="425"/>
      <c r="BS23" s="425"/>
      <c r="BT23" s="425"/>
      <c r="BU23" s="425"/>
      <c r="BV23" s="425"/>
      <c r="BW23" s="425"/>
      <c r="BX23" s="425"/>
      <c r="BY23" s="425"/>
      <c r="BZ23" s="425"/>
      <c r="CA23" s="425"/>
      <c r="CB23" s="425"/>
      <c r="CC23" s="425"/>
      <c r="CD23" s="425"/>
      <c r="CE23" s="425"/>
      <c r="CF23" s="425"/>
      <c r="CG23" s="425"/>
      <c r="CH23" s="425"/>
      <c r="CI23" s="425"/>
      <c r="CJ23" s="425"/>
      <c r="CK23" s="425"/>
      <c r="CL23" s="425"/>
      <c r="CM23" s="425"/>
      <c r="CN23" s="425"/>
      <c r="CO23" s="425"/>
      <c r="CP23" s="425"/>
      <c r="CQ23" s="425"/>
      <c r="CR23" s="425"/>
      <c r="CS23" s="425"/>
      <c r="CT23" s="425"/>
      <c r="CU23" s="425"/>
      <c r="CV23" s="425"/>
      <c r="CW23" s="425"/>
      <c r="CX23" s="425"/>
      <c r="CY23" s="425"/>
      <c r="CZ23" s="425"/>
      <c r="DA23" s="425"/>
      <c r="DB23" s="425"/>
      <c r="DC23" s="425"/>
      <c r="DD23" s="425"/>
      <c r="DE23" s="425"/>
      <c r="DF23" s="425"/>
      <c r="DG23" s="425"/>
      <c r="DH23" s="425"/>
      <c r="DI23" s="425"/>
      <c r="DJ23" s="425"/>
      <c r="DK23" s="425"/>
      <c r="DL23" s="425"/>
      <c r="DM23" s="425"/>
      <c r="DN23" s="425"/>
      <c r="DO23" s="425"/>
      <c r="DP23" s="425"/>
      <c r="DQ23" s="425"/>
      <c r="DR23" s="425"/>
      <c r="DS23" s="425"/>
      <c r="DT23" s="425"/>
    </row>
    <row r="24" spans="1:124" s="26" customFormat="1" ht="18.75" customHeight="1" x14ac:dyDescent="0.2">
      <c r="A24" s="331" t="s">
        <v>217</v>
      </c>
      <c r="B24" s="421"/>
      <c r="C24" s="130"/>
      <c r="D24" s="130"/>
      <c r="E24" s="231"/>
      <c r="F24" s="560"/>
      <c r="G24" s="130"/>
      <c r="H24" s="162"/>
      <c r="I24" s="132"/>
      <c r="J24" s="162"/>
      <c r="K24" s="130"/>
      <c r="L24" s="130"/>
      <c r="M24" s="130"/>
      <c r="N24" s="147">
        <f t="shared" si="12"/>
        <v>0</v>
      </c>
      <c r="O24" s="130">
        <f t="shared" si="13"/>
        <v>0</v>
      </c>
      <c r="P24" s="130">
        <f t="shared" si="13"/>
        <v>0</v>
      </c>
      <c r="Q24" s="132">
        <f t="shared" si="14"/>
        <v>0</v>
      </c>
      <c r="R24" s="162" t="e">
        <f>#REF!+#REF!+#REF!+#REF!+#REF!</f>
        <v>#REF!</v>
      </c>
      <c r="S24" s="231">
        <v>8200000</v>
      </c>
      <c r="T24" s="231">
        <v>8200000</v>
      </c>
      <c r="U24" s="231">
        <v>8200000</v>
      </c>
      <c r="V24" s="132">
        <f t="shared" ref="V24:V37" si="15">U24-T24</f>
        <v>0</v>
      </c>
      <c r="W24" s="425"/>
      <c r="X24" s="425"/>
      <c r="Y24" s="425"/>
      <c r="Z24" s="425"/>
      <c r="AA24" s="425"/>
      <c r="AB24" s="425"/>
      <c r="AC24" s="425"/>
      <c r="AD24" s="425"/>
      <c r="AE24" s="425"/>
      <c r="AF24" s="425"/>
      <c r="AG24" s="425"/>
      <c r="AH24" s="425"/>
      <c r="AI24" s="425"/>
      <c r="AJ24" s="425"/>
      <c r="AK24" s="425"/>
      <c r="AL24" s="425"/>
      <c r="AM24" s="425"/>
      <c r="AN24" s="425"/>
      <c r="AO24" s="425"/>
      <c r="AP24" s="425"/>
      <c r="AQ24" s="425"/>
      <c r="AR24" s="425"/>
      <c r="AS24" s="425"/>
      <c r="AT24" s="425"/>
      <c r="AU24" s="425"/>
      <c r="AV24" s="425"/>
      <c r="AW24" s="425"/>
      <c r="AX24" s="425"/>
      <c r="AY24" s="425"/>
      <c r="AZ24" s="425"/>
      <c r="BA24" s="425"/>
      <c r="BB24" s="425"/>
      <c r="BC24" s="425"/>
      <c r="BD24" s="425"/>
      <c r="BE24" s="425"/>
      <c r="BF24" s="425"/>
      <c r="BG24" s="425"/>
      <c r="BH24" s="425"/>
      <c r="BI24" s="425"/>
      <c r="BJ24" s="425"/>
      <c r="BK24" s="425"/>
      <c r="BL24" s="425"/>
      <c r="BM24" s="425"/>
      <c r="BN24" s="425"/>
      <c r="BO24" s="425"/>
      <c r="BP24" s="425"/>
      <c r="BQ24" s="425"/>
      <c r="BR24" s="425"/>
      <c r="BS24" s="425"/>
      <c r="BT24" s="425"/>
      <c r="BU24" s="425"/>
      <c r="BV24" s="425"/>
      <c r="BW24" s="425"/>
      <c r="BX24" s="425"/>
      <c r="BY24" s="425"/>
      <c r="BZ24" s="425"/>
      <c r="CA24" s="425"/>
      <c r="CB24" s="425"/>
      <c r="CC24" s="425"/>
      <c r="CD24" s="425"/>
      <c r="CE24" s="425"/>
      <c r="CF24" s="425"/>
      <c r="CG24" s="425"/>
      <c r="CH24" s="425"/>
      <c r="CI24" s="425"/>
      <c r="CJ24" s="425"/>
      <c r="CK24" s="425"/>
      <c r="CL24" s="425"/>
      <c r="CM24" s="425"/>
      <c r="CN24" s="425"/>
      <c r="CO24" s="425"/>
      <c r="CP24" s="425"/>
      <c r="CQ24" s="425"/>
      <c r="CR24" s="425"/>
      <c r="CS24" s="425"/>
      <c r="CT24" s="425"/>
      <c r="CU24" s="425"/>
      <c r="CV24" s="425"/>
      <c r="CW24" s="425"/>
      <c r="CX24" s="425"/>
      <c r="CY24" s="425"/>
      <c r="CZ24" s="425"/>
      <c r="DA24" s="425"/>
      <c r="DB24" s="425"/>
      <c r="DC24" s="425"/>
      <c r="DD24" s="425"/>
      <c r="DE24" s="425"/>
      <c r="DF24" s="425"/>
      <c r="DG24" s="425"/>
      <c r="DH24" s="425"/>
      <c r="DI24" s="425"/>
      <c r="DJ24" s="425"/>
      <c r="DK24" s="425"/>
      <c r="DL24" s="425"/>
      <c r="DM24" s="425"/>
      <c r="DN24" s="425"/>
      <c r="DO24" s="425"/>
      <c r="DP24" s="425"/>
      <c r="DQ24" s="425"/>
      <c r="DR24" s="425"/>
      <c r="DS24" s="425"/>
      <c r="DT24" s="425"/>
    </row>
    <row r="25" spans="1:124" s="26" customFormat="1" ht="17.45" customHeight="1" x14ac:dyDescent="0.2">
      <c r="A25" s="327" t="s">
        <v>437</v>
      </c>
      <c r="B25" s="421"/>
      <c r="C25" s="130"/>
      <c r="D25" s="130"/>
      <c r="E25" s="231"/>
      <c r="F25" s="560"/>
      <c r="G25" s="231"/>
      <c r="H25" s="231"/>
      <c r="I25" s="132"/>
      <c r="J25" s="130">
        <v>228346</v>
      </c>
      <c r="K25" s="130">
        <v>228346</v>
      </c>
      <c r="L25" s="130">
        <v>228346</v>
      </c>
      <c r="M25" s="130">
        <f>L25-K25</f>
        <v>0</v>
      </c>
      <c r="N25" s="147">
        <f t="shared" si="12"/>
        <v>228346</v>
      </c>
      <c r="O25" s="130">
        <f t="shared" si="13"/>
        <v>228346</v>
      </c>
      <c r="P25" s="130">
        <f t="shared" si="13"/>
        <v>228346</v>
      </c>
      <c r="Q25" s="132">
        <f t="shared" si="14"/>
        <v>0</v>
      </c>
      <c r="R25" s="162" t="e">
        <f>#REF!+#REF!+#REF!+#REF!+#REF!</f>
        <v>#REF!</v>
      </c>
      <c r="S25" s="231">
        <f>2250000+1375000</f>
        <v>3625000</v>
      </c>
      <c r="T25" s="231">
        <v>3625000</v>
      </c>
      <c r="U25" s="231">
        <v>3625000</v>
      </c>
      <c r="V25" s="132">
        <f t="shared" si="15"/>
        <v>0</v>
      </c>
      <c r="W25" s="425"/>
      <c r="X25" s="425"/>
      <c r="Y25" s="425"/>
      <c r="Z25" s="425"/>
      <c r="AA25" s="425"/>
      <c r="AB25" s="425"/>
      <c r="AC25" s="425"/>
      <c r="AD25" s="425"/>
      <c r="AE25" s="425"/>
      <c r="AF25" s="425"/>
      <c r="AG25" s="425"/>
      <c r="AH25" s="425"/>
      <c r="AI25" s="425"/>
      <c r="AJ25" s="425"/>
      <c r="AK25" s="425"/>
      <c r="AL25" s="425"/>
      <c r="AM25" s="425"/>
      <c r="AN25" s="425"/>
      <c r="AO25" s="425"/>
      <c r="AP25" s="425"/>
      <c r="AQ25" s="425"/>
      <c r="AR25" s="425"/>
      <c r="AS25" s="425"/>
      <c r="AT25" s="425"/>
      <c r="AU25" s="425"/>
      <c r="AV25" s="425"/>
      <c r="AW25" s="425"/>
      <c r="AX25" s="425"/>
      <c r="AY25" s="425"/>
      <c r="AZ25" s="425"/>
      <c r="BA25" s="425"/>
      <c r="BB25" s="425"/>
      <c r="BC25" s="425"/>
      <c r="BD25" s="425"/>
      <c r="BE25" s="425"/>
      <c r="BF25" s="425"/>
      <c r="BG25" s="425"/>
      <c r="BH25" s="425"/>
      <c r="BI25" s="425"/>
      <c r="BJ25" s="425"/>
      <c r="BK25" s="425"/>
      <c r="BL25" s="425"/>
      <c r="BM25" s="425"/>
      <c r="BN25" s="425"/>
      <c r="BO25" s="425"/>
      <c r="BP25" s="425"/>
      <c r="BQ25" s="425"/>
      <c r="BR25" s="425"/>
      <c r="BS25" s="425"/>
      <c r="BT25" s="425"/>
      <c r="BU25" s="425"/>
      <c r="BV25" s="425"/>
      <c r="BW25" s="425"/>
      <c r="BX25" s="425"/>
      <c r="BY25" s="425"/>
      <c r="BZ25" s="425"/>
      <c r="CA25" s="425"/>
      <c r="CB25" s="425"/>
      <c r="CC25" s="425"/>
      <c r="CD25" s="425"/>
      <c r="CE25" s="425"/>
      <c r="CF25" s="425"/>
      <c r="CG25" s="425"/>
      <c r="CH25" s="425"/>
      <c r="CI25" s="425"/>
      <c r="CJ25" s="425"/>
      <c r="CK25" s="425"/>
      <c r="CL25" s="425"/>
      <c r="CM25" s="425"/>
      <c r="CN25" s="425"/>
      <c r="CO25" s="425"/>
      <c r="CP25" s="425"/>
      <c r="CQ25" s="425"/>
      <c r="CR25" s="425"/>
      <c r="CS25" s="425"/>
      <c r="CT25" s="425"/>
      <c r="CU25" s="425"/>
      <c r="CV25" s="425"/>
      <c r="CW25" s="425"/>
      <c r="CX25" s="425"/>
      <c r="CY25" s="425"/>
      <c r="CZ25" s="425"/>
      <c r="DA25" s="425"/>
      <c r="DB25" s="425"/>
      <c r="DC25" s="425"/>
      <c r="DD25" s="425"/>
      <c r="DE25" s="425"/>
      <c r="DF25" s="425"/>
      <c r="DG25" s="425"/>
      <c r="DH25" s="425"/>
      <c r="DI25" s="425"/>
      <c r="DJ25" s="425"/>
      <c r="DK25" s="425"/>
      <c r="DL25" s="425"/>
      <c r="DM25" s="425"/>
      <c r="DN25" s="425"/>
      <c r="DO25" s="425"/>
      <c r="DP25" s="425"/>
      <c r="DQ25" s="425"/>
      <c r="DR25" s="425"/>
      <c r="DS25" s="425"/>
      <c r="DT25" s="425"/>
    </row>
    <row r="26" spans="1:124" s="26" customFormat="1" ht="17.45" customHeight="1" x14ac:dyDescent="0.2">
      <c r="A26" s="327" t="s">
        <v>367</v>
      </c>
      <c r="B26" s="421"/>
      <c r="C26" s="130"/>
      <c r="D26" s="130"/>
      <c r="E26" s="231"/>
      <c r="F26" s="560"/>
      <c r="G26" s="231"/>
      <c r="H26" s="231"/>
      <c r="I26" s="132"/>
      <c r="J26" s="130"/>
      <c r="K26" s="130"/>
      <c r="L26" s="130"/>
      <c r="M26" s="130">
        <f t="shared" ref="M26:M29" si="16">L26-K26</f>
        <v>0</v>
      </c>
      <c r="N26" s="147">
        <f t="shared" si="12"/>
        <v>0</v>
      </c>
      <c r="O26" s="130">
        <f t="shared" si="13"/>
        <v>0</v>
      </c>
      <c r="P26" s="130">
        <f t="shared" si="13"/>
        <v>0</v>
      </c>
      <c r="Q26" s="132">
        <f t="shared" si="14"/>
        <v>0</v>
      </c>
      <c r="R26" s="162" t="e">
        <f>#REF!+#REF!+#REF!+#REF!+#REF!</f>
        <v>#REF!</v>
      </c>
      <c r="S26" s="231"/>
      <c r="T26" s="231"/>
      <c r="U26" s="231"/>
      <c r="V26" s="132">
        <f t="shared" si="15"/>
        <v>0</v>
      </c>
      <c r="W26" s="425"/>
      <c r="X26" s="425"/>
      <c r="Y26" s="425"/>
      <c r="Z26" s="425"/>
      <c r="AA26" s="425"/>
      <c r="AB26" s="425"/>
      <c r="AC26" s="425"/>
      <c r="AD26" s="425"/>
      <c r="AE26" s="425"/>
      <c r="AF26" s="425"/>
      <c r="AG26" s="425"/>
      <c r="AH26" s="425"/>
      <c r="AI26" s="425"/>
      <c r="AJ26" s="425"/>
      <c r="AK26" s="425"/>
      <c r="AL26" s="425"/>
      <c r="AM26" s="425"/>
      <c r="AN26" s="425"/>
      <c r="AO26" s="425"/>
      <c r="AP26" s="425"/>
      <c r="AQ26" s="425"/>
      <c r="AR26" s="425"/>
      <c r="AS26" s="425"/>
      <c r="AT26" s="425"/>
      <c r="AU26" s="425"/>
      <c r="AV26" s="425"/>
      <c r="AW26" s="425"/>
      <c r="AX26" s="425"/>
      <c r="AY26" s="425"/>
      <c r="AZ26" s="425"/>
      <c r="BA26" s="425"/>
      <c r="BB26" s="425"/>
      <c r="BC26" s="425"/>
      <c r="BD26" s="425"/>
      <c r="BE26" s="425"/>
      <c r="BF26" s="425"/>
      <c r="BG26" s="425"/>
      <c r="BH26" s="425"/>
      <c r="BI26" s="425"/>
      <c r="BJ26" s="425"/>
      <c r="BK26" s="425"/>
      <c r="BL26" s="425"/>
      <c r="BM26" s="425"/>
      <c r="BN26" s="425"/>
      <c r="BO26" s="425"/>
      <c r="BP26" s="425"/>
      <c r="BQ26" s="425"/>
      <c r="BR26" s="425"/>
      <c r="BS26" s="425"/>
      <c r="BT26" s="425"/>
      <c r="BU26" s="425"/>
      <c r="BV26" s="425"/>
      <c r="BW26" s="425"/>
      <c r="BX26" s="425"/>
      <c r="BY26" s="425"/>
      <c r="BZ26" s="425"/>
      <c r="CA26" s="425"/>
      <c r="CB26" s="425"/>
      <c r="CC26" s="425"/>
      <c r="CD26" s="425"/>
      <c r="CE26" s="425"/>
      <c r="CF26" s="425"/>
      <c r="CG26" s="425"/>
      <c r="CH26" s="425"/>
      <c r="CI26" s="425"/>
      <c r="CJ26" s="425"/>
      <c r="CK26" s="425"/>
      <c r="CL26" s="425"/>
      <c r="CM26" s="425"/>
      <c r="CN26" s="425"/>
      <c r="CO26" s="425"/>
      <c r="CP26" s="425"/>
      <c r="CQ26" s="425"/>
      <c r="CR26" s="425"/>
      <c r="CS26" s="425"/>
      <c r="CT26" s="425"/>
      <c r="CU26" s="425"/>
      <c r="CV26" s="425"/>
      <c r="CW26" s="425"/>
      <c r="CX26" s="425"/>
      <c r="CY26" s="425"/>
      <c r="CZ26" s="425"/>
      <c r="DA26" s="425"/>
      <c r="DB26" s="425"/>
      <c r="DC26" s="425"/>
      <c r="DD26" s="425"/>
      <c r="DE26" s="425"/>
      <c r="DF26" s="425"/>
      <c r="DG26" s="425"/>
      <c r="DH26" s="425"/>
      <c r="DI26" s="425"/>
      <c r="DJ26" s="425"/>
      <c r="DK26" s="425"/>
      <c r="DL26" s="425"/>
      <c r="DM26" s="425"/>
      <c r="DN26" s="425"/>
      <c r="DO26" s="425"/>
      <c r="DP26" s="425"/>
      <c r="DQ26" s="425"/>
      <c r="DR26" s="425"/>
      <c r="DS26" s="425"/>
      <c r="DT26" s="425"/>
    </row>
    <row r="27" spans="1:124" s="26" customFormat="1" ht="13.7" customHeight="1" x14ac:dyDescent="0.2">
      <c r="A27" s="332" t="s">
        <v>440</v>
      </c>
      <c r="B27" s="421"/>
      <c r="C27" s="130"/>
      <c r="D27" s="130"/>
      <c r="E27" s="231"/>
      <c r="F27" s="560"/>
      <c r="G27" s="231"/>
      <c r="H27" s="231"/>
      <c r="I27" s="132"/>
      <c r="J27" s="130">
        <v>1216215</v>
      </c>
      <c r="K27" s="130">
        <v>1216215</v>
      </c>
      <c r="L27" s="130">
        <v>1216215</v>
      </c>
      <c r="M27" s="130">
        <f t="shared" si="16"/>
        <v>0</v>
      </c>
      <c r="N27" s="147">
        <f t="shared" si="12"/>
        <v>1216215</v>
      </c>
      <c r="O27" s="130">
        <f t="shared" ref="O27:P33" si="17">C27+G27+K27</f>
        <v>1216215</v>
      </c>
      <c r="P27" s="130">
        <f t="shared" si="17"/>
        <v>1216215</v>
      </c>
      <c r="Q27" s="132">
        <f t="shared" si="14"/>
        <v>0</v>
      </c>
      <c r="R27" s="162" t="e">
        <f>#REF!+#REF!+#REF!+#REF!+#REF!</f>
        <v>#REF!</v>
      </c>
      <c r="S27" s="231"/>
      <c r="T27" s="231"/>
      <c r="U27" s="231"/>
      <c r="V27" s="132">
        <f t="shared" si="15"/>
        <v>0</v>
      </c>
      <c r="W27" s="425"/>
      <c r="X27" s="425"/>
      <c r="Y27" s="425"/>
      <c r="Z27" s="425"/>
      <c r="AA27" s="425"/>
      <c r="AB27" s="425"/>
      <c r="AC27" s="425"/>
      <c r="AD27" s="425"/>
      <c r="AE27" s="425"/>
      <c r="AF27" s="425"/>
      <c r="AG27" s="425"/>
      <c r="AH27" s="425"/>
      <c r="AI27" s="425"/>
      <c r="AJ27" s="425"/>
      <c r="AK27" s="425"/>
      <c r="AL27" s="425"/>
      <c r="AM27" s="425"/>
      <c r="AN27" s="425"/>
      <c r="AO27" s="425"/>
      <c r="AP27" s="425"/>
      <c r="AQ27" s="425"/>
      <c r="AR27" s="425"/>
      <c r="AS27" s="425"/>
      <c r="AT27" s="425"/>
      <c r="AU27" s="425"/>
      <c r="AV27" s="425"/>
      <c r="AW27" s="425"/>
      <c r="AX27" s="425"/>
      <c r="AY27" s="425"/>
      <c r="AZ27" s="425"/>
      <c r="BA27" s="425"/>
      <c r="BB27" s="425"/>
      <c r="BC27" s="425"/>
      <c r="BD27" s="425"/>
      <c r="BE27" s="425"/>
      <c r="BF27" s="425"/>
      <c r="BG27" s="425"/>
      <c r="BH27" s="425"/>
      <c r="BI27" s="425"/>
      <c r="BJ27" s="425"/>
      <c r="BK27" s="425"/>
      <c r="BL27" s="425"/>
      <c r="BM27" s="425"/>
      <c r="BN27" s="425"/>
      <c r="BO27" s="425"/>
      <c r="BP27" s="425"/>
      <c r="BQ27" s="425"/>
      <c r="BR27" s="425"/>
      <c r="BS27" s="425"/>
      <c r="BT27" s="425"/>
      <c r="BU27" s="425"/>
      <c r="BV27" s="425"/>
      <c r="BW27" s="425"/>
      <c r="BX27" s="425"/>
      <c r="BY27" s="425"/>
      <c r="BZ27" s="425"/>
      <c r="CA27" s="425"/>
      <c r="CB27" s="425"/>
      <c r="CC27" s="425"/>
      <c r="CD27" s="425"/>
      <c r="CE27" s="425"/>
      <c r="CF27" s="425"/>
      <c r="CG27" s="425"/>
      <c r="CH27" s="425"/>
      <c r="CI27" s="425"/>
      <c r="CJ27" s="425"/>
      <c r="CK27" s="425"/>
      <c r="CL27" s="425"/>
      <c r="CM27" s="425"/>
      <c r="CN27" s="425"/>
      <c r="CO27" s="425"/>
      <c r="CP27" s="425"/>
      <c r="CQ27" s="425"/>
      <c r="CR27" s="425"/>
      <c r="CS27" s="425"/>
      <c r="CT27" s="425"/>
      <c r="CU27" s="425"/>
      <c r="CV27" s="425"/>
      <c r="CW27" s="425"/>
      <c r="CX27" s="425"/>
      <c r="CY27" s="425"/>
      <c r="CZ27" s="425"/>
      <c r="DA27" s="425"/>
      <c r="DB27" s="425"/>
      <c r="DC27" s="425"/>
      <c r="DD27" s="425"/>
      <c r="DE27" s="425"/>
      <c r="DF27" s="425"/>
      <c r="DG27" s="425"/>
      <c r="DH27" s="425"/>
      <c r="DI27" s="425"/>
      <c r="DJ27" s="425"/>
      <c r="DK27" s="425"/>
      <c r="DL27" s="425"/>
      <c r="DM27" s="425"/>
      <c r="DN27" s="425"/>
      <c r="DO27" s="425"/>
      <c r="DP27" s="425"/>
      <c r="DQ27" s="425"/>
      <c r="DR27" s="425"/>
      <c r="DS27" s="425"/>
      <c r="DT27" s="425"/>
    </row>
    <row r="28" spans="1:124" s="26" customFormat="1" x14ac:dyDescent="0.2">
      <c r="A28" s="331" t="s">
        <v>441</v>
      </c>
      <c r="B28" s="421">
        <v>539787</v>
      </c>
      <c r="C28" s="130">
        <v>424984</v>
      </c>
      <c r="D28" s="130">
        <v>424984</v>
      </c>
      <c r="E28" s="231">
        <f t="shared" ref="E28:E33" si="18">D28-C28</f>
        <v>0</v>
      </c>
      <c r="F28" s="560"/>
      <c r="G28" s="231"/>
      <c r="H28" s="231"/>
      <c r="I28" s="132"/>
      <c r="J28" s="130">
        <f>328378+61654</f>
        <v>390032</v>
      </c>
      <c r="K28" s="130">
        <v>390032</v>
      </c>
      <c r="L28" s="130">
        <v>390032</v>
      </c>
      <c r="M28" s="130">
        <f t="shared" si="16"/>
        <v>0</v>
      </c>
      <c r="N28" s="147">
        <f t="shared" si="12"/>
        <v>929819</v>
      </c>
      <c r="O28" s="130">
        <f t="shared" si="17"/>
        <v>815016</v>
      </c>
      <c r="P28" s="130">
        <f t="shared" si="17"/>
        <v>815016</v>
      </c>
      <c r="Q28" s="132">
        <f t="shared" si="14"/>
        <v>0</v>
      </c>
      <c r="R28" s="162" t="e">
        <f>#REF!+#REF!+#REF!+#REF!+#REF!</f>
        <v>#REF!</v>
      </c>
      <c r="S28" s="231">
        <f>5413500+371250+200693</f>
        <v>5985443</v>
      </c>
      <c r="T28" s="231">
        <f>5413500+371250+200693</f>
        <v>5985443</v>
      </c>
      <c r="U28" s="231">
        <v>5784750</v>
      </c>
      <c r="V28" s="132">
        <f t="shared" si="15"/>
        <v>-200693</v>
      </c>
      <c r="W28" s="425"/>
      <c r="X28" s="425"/>
      <c r="Y28" s="425"/>
      <c r="Z28" s="425"/>
      <c r="AA28" s="425"/>
      <c r="AB28" s="425"/>
      <c r="AC28" s="425"/>
      <c r="AD28" s="425"/>
      <c r="AE28" s="425"/>
      <c r="AF28" s="425"/>
      <c r="AG28" s="425"/>
      <c r="AH28" s="425"/>
      <c r="AI28" s="425"/>
      <c r="AJ28" s="425"/>
      <c r="AK28" s="425"/>
      <c r="AL28" s="425"/>
      <c r="AM28" s="425"/>
      <c r="AN28" s="425"/>
      <c r="AO28" s="425"/>
      <c r="AP28" s="425"/>
      <c r="AQ28" s="425"/>
      <c r="AR28" s="425"/>
      <c r="AS28" s="425"/>
      <c r="AT28" s="425"/>
      <c r="AU28" s="425"/>
      <c r="AV28" s="425"/>
      <c r="AW28" s="425"/>
      <c r="AX28" s="425"/>
      <c r="AY28" s="425"/>
      <c r="AZ28" s="425"/>
      <c r="BA28" s="425"/>
      <c r="BB28" s="425"/>
      <c r="BC28" s="425"/>
      <c r="BD28" s="425"/>
      <c r="BE28" s="425"/>
      <c r="BF28" s="425"/>
      <c r="BG28" s="425"/>
      <c r="BH28" s="425"/>
      <c r="BI28" s="425"/>
      <c r="BJ28" s="425"/>
      <c r="BK28" s="425"/>
      <c r="BL28" s="425"/>
      <c r="BM28" s="425"/>
      <c r="BN28" s="425"/>
      <c r="BO28" s="425"/>
      <c r="BP28" s="425"/>
      <c r="BQ28" s="425"/>
      <c r="BR28" s="425"/>
      <c r="BS28" s="425"/>
      <c r="BT28" s="425"/>
      <c r="BU28" s="425"/>
      <c r="BV28" s="425"/>
      <c r="BW28" s="425"/>
      <c r="BX28" s="425"/>
      <c r="BY28" s="425"/>
      <c r="BZ28" s="425"/>
      <c r="CA28" s="425"/>
      <c r="CB28" s="425"/>
      <c r="CC28" s="425"/>
      <c r="CD28" s="425"/>
      <c r="CE28" s="425"/>
      <c r="CF28" s="425"/>
      <c r="CG28" s="425"/>
      <c r="CH28" s="425"/>
      <c r="CI28" s="425"/>
      <c r="CJ28" s="425"/>
      <c r="CK28" s="425"/>
      <c r="CL28" s="425"/>
      <c r="CM28" s="425"/>
      <c r="CN28" s="425"/>
      <c r="CO28" s="425"/>
      <c r="CP28" s="425"/>
      <c r="CQ28" s="425"/>
      <c r="CR28" s="425"/>
      <c r="CS28" s="425"/>
      <c r="CT28" s="425"/>
      <c r="CU28" s="425"/>
      <c r="CV28" s="425"/>
      <c r="CW28" s="425"/>
      <c r="CX28" s="425"/>
      <c r="CY28" s="425"/>
      <c r="CZ28" s="425"/>
      <c r="DA28" s="425"/>
      <c r="DB28" s="425"/>
      <c r="DC28" s="425"/>
      <c r="DD28" s="425"/>
      <c r="DE28" s="425"/>
      <c r="DF28" s="425"/>
      <c r="DG28" s="425"/>
      <c r="DH28" s="425"/>
      <c r="DI28" s="425"/>
      <c r="DJ28" s="425"/>
      <c r="DK28" s="425"/>
      <c r="DL28" s="425"/>
      <c r="DM28" s="425"/>
      <c r="DN28" s="425"/>
      <c r="DO28" s="425"/>
      <c r="DP28" s="425"/>
      <c r="DQ28" s="425"/>
      <c r="DR28" s="425"/>
      <c r="DS28" s="425"/>
      <c r="DT28" s="425"/>
    </row>
    <row r="29" spans="1:124" s="26" customFormat="1" x14ac:dyDescent="0.2">
      <c r="A29" s="331" t="s">
        <v>442</v>
      </c>
      <c r="B29" s="421"/>
      <c r="C29" s="130"/>
      <c r="D29" s="130"/>
      <c r="E29" s="231">
        <f t="shared" si="18"/>
        <v>0</v>
      </c>
      <c r="F29" s="560"/>
      <c r="G29" s="231"/>
      <c r="H29" s="231"/>
      <c r="I29" s="132"/>
      <c r="J29" s="130">
        <v>650000</v>
      </c>
      <c r="K29" s="130">
        <v>380000</v>
      </c>
      <c r="L29" s="130">
        <v>380000</v>
      </c>
      <c r="M29" s="130">
        <f t="shared" si="16"/>
        <v>0</v>
      </c>
      <c r="N29" s="147">
        <f t="shared" si="12"/>
        <v>650000</v>
      </c>
      <c r="O29" s="130">
        <f t="shared" si="17"/>
        <v>380000</v>
      </c>
      <c r="P29" s="130">
        <f t="shared" si="17"/>
        <v>380000</v>
      </c>
      <c r="Q29" s="132">
        <f t="shared" si="14"/>
        <v>0</v>
      </c>
      <c r="R29" s="162" t="e">
        <f>#REF!+#REF!+#REF!+#REF!+#REF!</f>
        <v>#REF!</v>
      </c>
      <c r="S29" s="147"/>
      <c r="T29" s="231"/>
      <c r="U29" s="231"/>
      <c r="V29" s="132">
        <f t="shared" si="15"/>
        <v>0</v>
      </c>
      <c r="W29" s="425"/>
      <c r="X29" s="425"/>
      <c r="Y29" s="425"/>
      <c r="Z29" s="425"/>
      <c r="AA29" s="425"/>
      <c r="AB29" s="425"/>
      <c r="AC29" s="425"/>
      <c r="AD29" s="425"/>
      <c r="AE29" s="425"/>
      <c r="AF29" s="425"/>
      <c r="AG29" s="425"/>
      <c r="AH29" s="425"/>
      <c r="AI29" s="425"/>
      <c r="AJ29" s="425"/>
      <c r="AK29" s="425"/>
      <c r="AL29" s="425"/>
      <c r="AM29" s="425"/>
      <c r="AN29" s="425"/>
      <c r="AO29" s="425"/>
      <c r="AP29" s="425"/>
      <c r="AQ29" s="425"/>
      <c r="AR29" s="425"/>
      <c r="AS29" s="425"/>
      <c r="AT29" s="425"/>
      <c r="AU29" s="425"/>
      <c r="AV29" s="425"/>
      <c r="AW29" s="425"/>
      <c r="AX29" s="425"/>
      <c r="AY29" s="425"/>
      <c r="AZ29" s="425"/>
      <c r="BA29" s="425"/>
      <c r="BB29" s="425"/>
      <c r="BC29" s="425"/>
      <c r="BD29" s="425"/>
      <c r="BE29" s="425"/>
      <c r="BF29" s="425"/>
      <c r="BG29" s="425"/>
      <c r="BH29" s="425"/>
      <c r="BI29" s="425"/>
      <c r="BJ29" s="425"/>
      <c r="BK29" s="425"/>
      <c r="BL29" s="425"/>
      <c r="BM29" s="425"/>
      <c r="BN29" s="425"/>
      <c r="BO29" s="425"/>
      <c r="BP29" s="425"/>
      <c r="BQ29" s="425"/>
      <c r="BR29" s="425"/>
      <c r="BS29" s="425"/>
      <c r="BT29" s="425"/>
      <c r="BU29" s="425"/>
      <c r="BV29" s="425"/>
      <c r="BW29" s="425"/>
      <c r="BX29" s="425"/>
      <c r="BY29" s="425"/>
      <c r="BZ29" s="425"/>
      <c r="CA29" s="425"/>
      <c r="CB29" s="425"/>
      <c r="CC29" s="425"/>
      <c r="CD29" s="425"/>
      <c r="CE29" s="425"/>
      <c r="CF29" s="425"/>
      <c r="CG29" s="425"/>
      <c r="CH29" s="425"/>
      <c r="CI29" s="425"/>
      <c r="CJ29" s="425"/>
      <c r="CK29" s="425"/>
      <c r="CL29" s="425"/>
      <c r="CM29" s="425"/>
      <c r="CN29" s="425"/>
      <c r="CO29" s="425"/>
      <c r="CP29" s="425"/>
      <c r="CQ29" s="425"/>
      <c r="CR29" s="425"/>
      <c r="CS29" s="425"/>
      <c r="CT29" s="425"/>
      <c r="CU29" s="425"/>
      <c r="CV29" s="425"/>
      <c r="CW29" s="425"/>
      <c r="CX29" s="425"/>
      <c r="CY29" s="425"/>
      <c r="CZ29" s="425"/>
      <c r="DA29" s="425"/>
      <c r="DB29" s="425"/>
      <c r="DC29" s="425"/>
      <c r="DD29" s="425"/>
      <c r="DE29" s="425"/>
      <c r="DF29" s="425"/>
      <c r="DG29" s="425"/>
      <c r="DH29" s="425"/>
      <c r="DI29" s="425"/>
      <c r="DJ29" s="425"/>
      <c r="DK29" s="425"/>
      <c r="DL29" s="425"/>
      <c r="DM29" s="425"/>
      <c r="DN29" s="425"/>
      <c r="DO29" s="425"/>
      <c r="DP29" s="425"/>
      <c r="DQ29" s="425"/>
      <c r="DR29" s="425"/>
      <c r="DS29" s="425"/>
      <c r="DT29" s="425"/>
    </row>
    <row r="30" spans="1:124" s="26" customFormat="1" ht="15" customHeight="1" x14ac:dyDescent="0.2">
      <c r="A30" s="331" t="s">
        <v>443</v>
      </c>
      <c r="B30" s="421"/>
      <c r="C30" s="130"/>
      <c r="D30" s="130"/>
      <c r="E30" s="231">
        <f t="shared" si="18"/>
        <v>0</v>
      </c>
      <c r="F30" s="560"/>
      <c r="G30" s="231"/>
      <c r="H30" s="231"/>
      <c r="I30" s="132"/>
      <c r="J30" s="162"/>
      <c r="K30" s="130"/>
      <c r="L30" s="130"/>
      <c r="M30" s="130"/>
      <c r="N30" s="147">
        <f t="shared" si="12"/>
        <v>0</v>
      </c>
      <c r="O30" s="130">
        <f t="shared" si="17"/>
        <v>0</v>
      </c>
      <c r="P30" s="130">
        <f t="shared" si="17"/>
        <v>0</v>
      </c>
      <c r="Q30" s="132">
        <f t="shared" si="14"/>
        <v>0</v>
      </c>
      <c r="R30" s="162" t="e">
        <f>#REF!+#REF!+#REF!+#REF!+#REF!</f>
        <v>#REF!</v>
      </c>
      <c r="S30" s="147"/>
      <c r="T30" s="231"/>
      <c r="U30" s="231"/>
      <c r="V30" s="132">
        <f t="shared" si="15"/>
        <v>0</v>
      </c>
      <c r="W30" s="425"/>
      <c r="X30" s="425"/>
      <c r="Y30" s="425"/>
      <c r="Z30" s="425"/>
      <c r="AA30" s="425"/>
      <c r="AB30" s="425"/>
      <c r="AC30" s="425"/>
      <c r="AD30" s="425"/>
      <c r="AE30" s="425"/>
      <c r="AF30" s="425"/>
      <c r="AG30" s="425"/>
      <c r="AH30" s="425"/>
      <c r="AI30" s="425"/>
      <c r="AJ30" s="425"/>
      <c r="AK30" s="425"/>
      <c r="AL30" s="425"/>
      <c r="AM30" s="425"/>
      <c r="AN30" s="425"/>
      <c r="AO30" s="425"/>
      <c r="AP30" s="425"/>
      <c r="AQ30" s="425"/>
      <c r="AR30" s="425"/>
      <c r="AS30" s="425"/>
      <c r="AT30" s="425"/>
      <c r="AU30" s="425"/>
      <c r="AV30" s="425"/>
      <c r="AW30" s="425"/>
      <c r="AX30" s="425"/>
      <c r="AY30" s="425"/>
      <c r="AZ30" s="425"/>
      <c r="BA30" s="425"/>
      <c r="BB30" s="425"/>
      <c r="BC30" s="425"/>
      <c r="BD30" s="425"/>
      <c r="BE30" s="425"/>
      <c r="BF30" s="425"/>
      <c r="BG30" s="425"/>
      <c r="BH30" s="425"/>
      <c r="BI30" s="425"/>
      <c r="BJ30" s="425"/>
      <c r="BK30" s="425"/>
      <c r="BL30" s="425"/>
      <c r="BM30" s="425"/>
      <c r="BN30" s="425"/>
      <c r="BO30" s="425"/>
      <c r="BP30" s="425"/>
      <c r="BQ30" s="425"/>
      <c r="BR30" s="425"/>
      <c r="BS30" s="425"/>
      <c r="BT30" s="425"/>
      <c r="BU30" s="425"/>
      <c r="BV30" s="425"/>
      <c r="BW30" s="425"/>
      <c r="BX30" s="425"/>
      <c r="BY30" s="425"/>
      <c r="BZ30" s="425"/>
      <c r="CA30" s="425"/>
      <c r="CB30" s="425"/>
      <c r="CC30" s="425"/>
      <c r="CD30" s="425"/>
      <c r="CE30" s="425"/>
      <c r="CF30" s="425"/>
      <c r="CG30" s="425"/>
      <c r="CH30" s="425"/>
      <c r="CI30" s="425"/>
      <c r="CJ30" s="425"/>
      <c r="CK30" s="425"/>
      <c r="CL30" s="425"/>
      <c r="CM30" s="425"/>
      <c r="CN30" s="425"/>
      <c r="CO30" s="425"/>
      <c r="CP30" s="425"/>
      <c r="CQ30" s="425"/>
      <c r="CR30" s="425"/>
      <c r="CS30" s="425"/>
      <c r="CT30" s="425"/>
      <c r="CU30" s="425"/>
      <c r="CV30" s="425"/>
      <c r="CW30" s="425"/>
      <c r="CX30" s="425"/>
      <c r="CY30" s="425"/>
      <c r="CZ30" s="425"/>
      <c r="DA30" s="425"/>
      <c r="DB30" s="425"/>
      <c r="DC30" s="425"/>
      <c r="DD30" s="425"/>
      <c r="DE30" s="425"/>
      <c r="DF30" s="425"/>
      <c r="DG30" s="425"/>
      <c r="DH30" s="425"/>
      <c r="DI30" s="425"/>
      <c r="DJ30" s="425"/>
      <c r="DK30" s="425"/>
      <c r="DL30" s="425"/>
      <c r="DM30" s="425"/>
      <c r="DN30" s="425"/>
      <c r="DO30" s="425"/>
      <c r="DP30" s="425"/>
      <c r="DQ30" s="425"/>
      <c r="DR30" s="425"/>
      <c r="DS30" s="425"/>
      <c r="DT30" s="425"/>
    </row>
    <row r="31" spans="1:124" s="26" customFormat="1" ht="15" customHeight="1" x14ac:dyDescent="0.2">
      <c r="A31" s="330" t="s">
        <v>362</v>
      </c>
      <c r="B31" s="421"/>
      <c r="C31" s="130"/>
      <c r="D31" s="130"/>
      <c r="E31" s="231">
        <f t="shared" si="18"/>
        <v>0</v>
      </c>
      <c r="F31" s="560"/>
      <c r="G31" s="231"/>
      <c r="H31" s="231"/>
      <c r="I31" s="132"/>
      <c r="J31" s="162"/>
      <c r="K31" s="231"/>
      <c r="L31" s="231"/>
      <c r="M31" s="231"/>
      <c r="N31" s="147">
        <f t="shared" si="12"/>
        <v>0</v>
      </c>
      <c r="O31" s="130">
        <f t="shared" si="17"/>
        <v>0</v>
      </c>
      <c r="P31" s="130">
        <f t="shared" si="17"/>
        <v>0</v>
      </c>
      <c r="Q31" s="132">
        <f t="shared" si="14"/>
        <v>0</v>
      </c>
      <c r="R31" s="162"/>
      <c r="S31" s="147"/>
      <c r="T31" s="231"/>
      <c r="U31" s="231"/>
      <c r="V31" s="132">
        <f t="shared" si="15"/>
        <v>0</v>
      </c>
      <c r="W31" s="425"/>
      <c r="X31" s="425"/>
      <c r="Y31" s="425"/>
      <c r="Z31" s="425"/>
      <c r="AA31" s="425"/>
      <c r="AB31" s="425"/>
      <c r="AC31" s="425"/>
      <c r="AD31" s="425"/>
      <c r="AE31" s="425"/>
      <c r="AF31" s="425"/>
      <c r="AG31" s="425"/>
      <c r="AH31" s="425"/>
      <c r="AI31" s="425"/>
      <c r="AJ31" s="425"/>
      <c r="AK31" s="425"/>
      <c r="AL31" s="425"/>
      <c r="AM31" s="425"/>
      <c r="AN31" s="425"/>
      <c r="AO31" s="425"/>
      <c r="AP31" s="425"/>
      <c r="AQ31" s="425"/>
      <c r="AR31" s="425"/>
      <c r="AS31" s="425"/>
      <c r="AT31" s="425"/>
      <c r="AU31" s="425"/>
      <c r="AV31" s="425"/>
      <c r="AW31" s="425"/>
      <c r="AX31" s="425"/>
      <c r="AY31" s="425"/>
      <c r="AZ31" s="425"/>
      <c r="BA31" s="425"/>
      <c r="BB31" s="425"/>
      <c r="BC31" s="425"/>
      <c r="BD31" s="425"/>
      <c r="BE31" s="425"/>
      <c r="BF31" s="425"/>
      <c r="BG31" s="425"/>
      <c r="BH31" s="425"/>
      <c r="BI31" s="425"/>
      <c r="BJ31" s="425"/>
      <c r="BK31" s="425"/>
      <c r="BL31" s="425"/>
      <c r="BM31" s="425"/>
      <c r="BN31" s="425"/>
      <c r="BO31" s="425"/>
      <c r="BP31" s="425"/>
      <c r="BQ31" s="425"/>
      <c r="BR31" s="425"/>
      <c r="BS31" s="425"/>
      <c r="BT31" s="425"/>
      <c r="BU31" s="425"/>
      <c r="BV31" s="425"/>
      <c r="BW31" s="425"/>
      <c r="BX31" s="425"/>
      <c r="BY31" s="425"/>
      <c r="BZ31" s="425"/>
      <c r="CA31" s="425"/>
      <c r="CB31" s="425"/>
      <c r="CC31" s="425"/>
      <c r="CD31" s="425"/>
      <c r="CE31" s="425"/>
      <c r="CF31" s="425"/>
      <c r="CG31" s="425"/>
      <c r="CH31" s="425"/>
      <c r="CI31" s="425"/>
      <c r="CJ31" s="425"/>
      <c r="CK31" s="425"/>
      <c r="CL31" s="425"/>
      <c r="CM31" s="425"/>
      <c r="CN31" s="425"/>
      <c r="CO31" s="425"/>
      <c r="CP31" s="425"/>
      <c r="CQ31" s="425"/>
      <c r="CR31" s="425"/>
      <c r="CS31" s="425"/>
      <c r="CT31" s="425"/>
      <c r="CU31" s="425"/>
      <c r="CV31" s="425"/>
      <c r="CW31" s="425"/>
      <c r="CX31" s="425"/>
      <c r="CY31" s="425"/>
      <c r="CZ31" s="425"/>
      <c r="DA31" s="425"/>
      <c r="DB31" s="425"/>
      <c r="DC31" s="425"/>
      <c r="DD31" s="425"/>
      <c r="DE31" s="425"/>
      <c r="DF31" s="425"/>
      <c r="DG31" s="425"/>
      <c r="DH31" s="425"/>
      <c r="DI31" s="425"/>
      <c r="DJ31" s="425"/>
      <c r="DK31" s="425"/>
      <c r="DL31" s="425"/>
      <c r="DM31" s="425"/>
      <c r="DN31" s="425"/>
      <c r="DO31" s="425"/>
      <c r="DP31" s="425"/>
      <c r="DQ31" s="425"/>
      <c r="DR31" s="425"/>
      <c r="DS31" s="425"/>
      <c r="DT31" s="425"/>
    </row>
    <row r="32" spans="1:124" s="26" customFormat="1" ht="15" customHeight="1" x14ac:dyDescent="0.2">
      <c r="A32" s="330" t="s">
        <v>360</v>
      </c>
      <c r="B32" s="421"/>
      <c r="C32" s="130"/>
      <c r="D32" s="130"/>
      <c r="E32" s="231">
        <f t="shared" si="18"/>
        <v>0</v>
      </c>
      <c r="F32" s="560"/>
      <c r="G32" s="231"/>
      <c r="H32" s="231"/>
      <c r="I32" s="132"/>
      <c r="J32" s="162"/>
      <c r="K32" s="130"/>
      <c r="L32" s="130"/>
      <c r="M32" s="130"/>
      <c r="N32" s="147">
        <f t="shared" si="12"/>
        <v>0</v>
      </c>
      <c r="O32" s="130">
        <f t="shared" si="17"/>
        <v>0</v>
      </c>
      <c r="P32" s="130">
        <f t="shared" si="17"/>
        <v>0</v>
      </c>
      <c r="Q32" s="132">
        <f t="shared" si="14"/>
        <v>0</v>
      </c>
      <c r="R32" s="162"/>
      <c r="S32" s="147"/>
      <c r="T32" s="231"/>
      <c r="U32" s="231"/>
      <c r="V32" s="132">
        <f t="shared" si="15"/>
        <v>0</v>
      </c>
      <c r="W32" s="425"/>
      <c r="X32" s="425"/>
      <c r="Y32" s="425"/>
      <c r="Z32" s="425"/>
      <c r="AA32" s="425"/>
      <c r="AB32" s="425"/>
      <c r="AC32" s="425"/>
      <c r="AD32" s="425"/>
      <c r="AE32" s="425"/>
      <c r="AF32" s="425"/>
      <c r="AG32" s="425"/>
      <c r="AH32" s="425"/>
      <c r="AI32" s="425"/>
      <c r="AJ32" s="425"/>
      <c r="AK32" s="425"/>
      <c r="AL32" s="425"/>
      <c r="AM32" s="425"/>
      <c r="AN32" s="425"/>
      <c r="AO32" s="425"/>
      <c r="AP32" s="425"/>
      <c r="AQ32" s="425"/>
      <c r="AR32" s="425"/>
      <c r="AS32" s="425"/>
      <c r="AT32" s="425"/>
      <c r="AU32" s="425"/>
      <c r="AV32" s="425"/>
      <c r="AW32" s="425"/>
      <c r="AX32" s="425"/>
      <c r="AY32" s="425"/>
      <c r="AZ32" s="425"/>
      <c r="BA32" s="425"/>
      <c r="BB32" s="425"/>
      <c r="BC32" s="425"/>
      <c r="BD32" s="425"/>
      <c r="BE32" s="425"/>
      <c r="BF32" s="425"/>
      <c r="BG32" s="425"/>
      <c r="BH32" s="425"/>
      <c r="BI32" s="425"/>
      <c r="BJ32" s="425"/>
      <c r="BK32" s="425"/>
      <c r="BL32" s="425"/>
      <c r="BM32" s="425"/>
      <c r="BN32" s="425"/>
      <c r="BO32" s="425"/>
      <c r="BP32" s="425"/>
      <c r="BQ32" s="425"/>
      <c r="BR32" s="425"/>
      <c r="BS32" s="425"/>
      <c r="BT32" s="425"/>
      <c r="BU32" s="425"/>
      <c r="BV32" s="425"/>
      <c r="BW32" s="425"/>
      <c r="BX32" s="425"/>
      <c r="BY32" s="425"/>
      <c r="BZ32" s="425"/>
      <c r="CA32" s="425"/>
      <c r="CB32" s="425"/>
      <c r="CC32" s="425"/>
      <c r="CD32" s="425"/>
      <c r="CE32" s="425"/>
      <c r="CF32" s="425"/>
      <c r="CG32" s="425"/>
      <c r="CH32" s="425"/>
      <c r="CI32" s="425"/>
      <c r="CJ32" s="425"/>
      <c r="CK32" s="425"/>
      <c r="CL32" s="425"/>
      <c r="CM32" s="425"/>
      <c r="CN32" s="425"/>
      <c r="CO32" s="425"/>
      <c r="CP32" s="425"/>
      <c r="CQ32" s="425"/>
      <c r="CR32" s="425"/>
      <c r="CS32" s="425"/>
      <c r="CT32" s="425"/>
      <c r="CU32" s="425"/>
      <c r="CV32" s="425"/>
      <c r="CW32" s="425"/>
      <c r="CX32" s="425"/>
      <c r="CY32" s="425"/>
      <c r="CZ32" s="425"/>
      <c r="DA32" s="425"/>
      <c r="DB32" s="425"/>
      <c r="DC32" s="425"/>
      <c r="DD32" s="425"/>
      <c r="DE32" s="425"/>
      <c r="DF32" s="425"/>
      <c r="DG32" s="425"/>
      <c r="DH32" s="425"/>
      <c r="DI32" s="425"/>
      <c r="DJ32" s="425"/>
      <c r="DK32" s="425"/>
      <c r="DL32" s="425"/>
      <c r="DM32" s="425"/>
      <c r="DN32" s="425"/>
      <c r="DO32" s="425"/>
      <c r="DP32" s="425"/>
      <c r="DQ32" s="425"/>
      <c r="DR32" s="425"/>
      <c r="DS32" s="425"/>
      <c r="DT32" s="425"/>
    </row>
    <row r="33" spans="1:124" s="26" customFormat="1" ht="17.45" customHeight="1" x14ac:dyDescent="0.2">
      <c r="A33" s="333" t="s">
        <v>361</v>
      </c>
      <c r="B33" s="421">
        <v>20000</v>
      </c>
      <c r="C33" s="130">
        <v>20000</v>
      </c>
      <c r="D33" s="130">
        <v>20000</v>
      </c>
      <c r="E33" s="231">
        <f t="shared" si="18"/>
        <v>0</v>
      </c>
      <c r="F33" s="560"/>
      <c r="G33" s="231"/>
      <c r="H33" s="231"/>
      <c r="I33" s="132"/>
      <c r="J33" s="162"/>
      <c r="K33" s="130"/>
      <c r="L33" s="130"/>
      <c r="M33" s="130"/>
      <c r="N33" s="147">
        <f t="shared" si="12"/>
        <v>20000</v>
      </c>
      <c r="O33" s="130">
        <f t="shared" si="17"/>
        <v>20000</v>
      </c>
      <c r="P33" s="130">
        <f t="shared" si="17"/>
        <v>20000</v>
      </c>
      <c r="Q33" s="132">
        <f t="shared" si="14"/>
        <v>0</v>
      </c>
      <c r="R33" s="162" t="e">
        <f>#REF!+#REF!+#REF!+#REF!+#REF!</f>
        <v>#REF!</v>
      </c>
      <c r="S33" s="147"/>
      <c r="T33" s="231"/>
      <c r="U33" s="231"/>
      <c r="V33" s="132">
        <f t="shared" si="15"/>
        <v>0</v>
      </c>
      <c r="W33" s="425"/>
      <c r="X33" s="425"/>
      <c r="Y33" s="425"/>
      <c r="Z33" s="425"/>
      <c r="AA33" s="425"/>
      <c r="AB33" s="425"/>
      <c r="AC33" s="425"/>
      <c r="AD33" s="425"/>
      <c r="AE33" s="425"/>
      <c r="AF33" s="425"/>
      <c r="AG33" s="425"/>
      <c r="AH33" s="425"/>
      <c r="AI33" s="425"/>
      <c r="AJ33" s="425"/>
      <c r="AK33" s="425"/>
      <c r="AL33" s="425"/>
      <c r="AM33" s="425"/>
      <c r="AN33" s="425"/>
      <c r="AO33" s="425"/>
      <c r="AP33" s="425"/>
      <c r="AQ33" s="425"/>
      <c r="AR33" s="425"/>
      <c r="AS33" s="425"/>
      <c r="AT33" s="425"/>
      <c r="AU33" s="425"/>
      <c r="AV33" s="425"/>
      <c r="AW33" s="425"/>
      <c r="AX33" s="425"/>
      <c r="AY33" s="425"/>
      <c r="AZ33" s="425"/>
      <c r="BA33" s="425"/>
      <c r="BB33" s="425"/>
      <c r="BC33" s="425"/>
      <c r="BD33" s="425"/>
      <c r="BE33" s="425"/>
      <c r="BF33" s="425"/>
      <c r="BG33" s="425"/>
      <c r="BH33" s="425"/>
      <c r="BI33" s="425"/>
      <c r="BJ33" s="425"/>
      <c r="BK33" s="425"/>
      <c r="BL33" s="425"/>
      <c r="BM33" s="425"/>
      <c r="BN33" s="425"/>
      <c r="BO33" s="425"/>
      <c r="BP33" s="425"/>
      <c r="BQ33" s="425"/>
      <c r="BR33" s="425"/>
      <c r="BS33" s="425"/>
      <c r="BT33" s="425"/>
      <c r="BU33" s="425"/>
      <c r="BV33" s="425"/>
      <c r="BW33" s="425"/>
      <c r="BX33" s="425"/>
      <c r="BY33" s="425"/>
      <c r="BZ33" s="425"/>
      <c r="CA33" s="425"/>
      <c r="CB33" s="425"/>
      <c r="CC33" s="425"/>
      <c r="CD33" s="425"/>
      <c r="CE33" s="425"/>
      <c r="CF33" s="425"/>
      <c r="CG33" s="425"/>
      <c r="CH33" s="425"/>
      <c r="CI33" s="425"/>
      <c r="CJ33" s="425"/>
      <c r="CK33" s="425"/>
      <c r="CL33" s="425"/>
      <c r="CM33" s="425"/>
      <c r="CN33" s="425"/>
      <c r="CO33" s="425"/>
      <c r="CP33" s="425"/>
      <c r="CQ33" s="425"/>
      <c r="CR33" s="425"/>
      <c r="CS33" s="425"/>
      <c r="CT33" s="425"/>
      <c r="CU33" s="425"/>
      <c r="CV33" s="425"/>
      <c r="CW33" s="425"/>
      <c r="CX33" s="425"/>
      <c r="CY33" s="425"/>
      <c r="CZ33" s="425"/>
      <c r="DA33" s="425"/>
      <c r="DB33" s="425"/>
      <c r="DC33" s="425"/>
      <c r="DD33" s="425"/>
      <c r="DE33" s="425"/>
      <c r="DF33" s="425"/>
      <c r="DG33" s="425"/>
      <c r="DH33" s="425"/>
      <c r="DI33" s="425"/>
      <c r="DJ33" s="425"/>
      <c r="DK33" s="425"/>
      <c r="DL33" s="425"/>
      <c r="DM33" s="425"/>
      <c r="DN33" s="425"/>
      <c r="DO33" s="425"/>
      <c r="DP33" s="425"/>
      <c r="DQ33" s="425"/>
      <c r="DR33" s="425"/>
      <c r="DS33" s="425"/>
      <c r="DT33" s="425"/>
    </row>
    <row r="34" spans="1:124" s="24" customFormat="1" ht="14.25" customHeight="1" x14ac:dyDescent="0.25">
      <c r="A34" s="329" t="s">
        <v>378</v>
      </c>
      <c r="B34" s="422"/>
      <c r="C34" s="95">
        <f>SUM(C35:C39)</f>
        <v>0</v>
      </c>
      <c r="D34" s="95">
        <f>SUM(D35:D39)</f>
        <v>0</v>
      </c>
      <c r="E34" s="134">
        <f>SUM(E35:E39)</f>
        <v>0</v>
      </c>
      <c r="F34" s="561">
        <f t="shared" ref="F34:H34" si="19">SUM(F35:F39)</f>
        <v>0</v>
      </c>
      <c r="G34" s="134">
        <f t="shared" ref="G34" si="20">SUM(G35:G39)</f>
        <v>0</v>
      </c>
      <c r="H34" s="134">
        <f t="shared" si="19"/>
        <v>0</v>
      </c>
      <c r="I34" s="606">
        <f t="shared" ref="I34:Q34" si="21">SUM(I35:I39)</f>
        <v>0</v>
      </c>
      <c r="J34" s="156">
        <f t="shared" ref="J34:L34" si="22">SUM(J35:J39)</f>
        <v>0</v>
      </c>
      <c r="K34" s="95">
        <f t="shared" ref="K34" si="23">SUM(K35:K39)</f>
        <v>0</v>
      </c>
      <c r="L34" s="95">
        <f t="shared" si="22"/>
        <v>0</v>
      </c>
      <c r="M34" s="95">
        <f t="shared" si="21"/>
        <v>0</v>
      </c>
      <c r="N34" s="146">
        <f t="shared" si="21"/>
        <v>0</v>
      </c>
      <c r="O34" s="95">
        <f t="shared" si="21"/>
        <v>0</v>
      </c>
      <c r="P34" s="95">
        <f t="shared" ref="P34" si="24">SUM(P35:P39)</f>
        <v>0</v>
      </c>
      <c r="Q34" s="606">
        <f t="shared" si="21"/>
        <v>0</v>
      </c>
      <c r="R34" s="156" t="e">
        <f>#REF!+#REF!+#REF!+#REF!+#REF!</f>
        <v>#REF!</v>
      </c>
      <c r="S34" s="146">
        <f>SUM(S35:S39)</f>
        <v>743307</v>
      </c>
      <c r="T34" s="95">
        <f>SUM(T35:T39)</f>
        <v>743307</v>
      </c>
      <c r="U34" s="95">
        <f>SUM(U35:U39)</f>
        <v>1070000</v>
      </c>
      <c r="V34" s="606">
        <f t="shared" si="15"/>
        <v>326693</v>
      </c>
      <c r="W34" s="419"/>
      <c r="X34" s="419"/>
      <c r="Y34" s="419"/>
      <c r="Z34" s="419"/>
      <c r="AA34" s="419"/>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19"/>
      <c r="BP34" s="419"/>
      <c r="BQ34" s="419"/>
      <c r="BR34" s="419"/>
      <c r="BS34" s="419"/>
      <c r="BT34" s="419"/>
      <c r="BU34" s="419"/>
      <c r="BV34" s="419"/>
      <c r="BW34" s="419"/>
      <c r="BX34" s="419"/>
      <c r="BY34" s="419"/>
      <c r="BZ34" s="419"/>
      <c r="CA34" s="419"/>
      <c r="CB34" s="419"/>
      <c r="CC34" s="419"/>
      <c r="CD34" s="419"/>
      <c r="CE34" s="419"/>
      <c r="CF34" s="419"/>
      <c r="CG34" s="419"/>
      <c r="CH34" s="419"/>
      <c r="CI34" s="419"/>
      <c r="CJ34" s="419"/>
      <c r="CK34" s="419"/>
      <c r="CL34" s="419"/>
      <c r="CM34" s="419"/>
      <c r="CN34" s="419"/>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19"/>
      <c r="DL34" s="419"/>
      <c r="DM34" s="419"/>
      <c r="DN34" s="419"/>
      <c r="DO34" s="419"/>
      <c r="DP34" s="419"/>
      <c r="DQ34" s="419"/>
      <c r="DR34" s="419"/>
      <c r="DS34" s="419"/>
      <c r="DT34" s="419"/>
    </row>
    <row r="35" spans="1:124" s="26" customFormat="1" ht="15" customHeight="1" x14ac:dyDescent="0.2">
      <c r="A35" s="327" t="s">
        <v>444</v>
      </c>
      <c r="B35" s="421"/>
      <c r="C35" s="130"/>
      <c r="D35" s="130"/>
      <c r="E35" s="231"/>
      <c r="F35" s="560"/>
      <c r="G35" s="231"/>
      <c r="H35" s="231"/>
      <c r="I35" s="132"/>
      <c r="J35" s="162"/>
      <c r="K35" s="130"/>
      <c r="L35" s="130"/>
      <c r="M35" s="130"/>
      <c r="N35" s="147">
        <f>B35+F35+J35</f>
        <v>0</v>
      </c>
      <c r="O35" s="231"/>
      <c r="P35" s="231"/>
      <c r="Q35" s="132"/>
      <c r="R35" s="163"/>
      <c r="S35" s="147"/>
      <c r="T35" s="231"/>
      <c r="U35" s="231"/>
      <c r="V35" s="132">
        <f t="shared" si="15"/>
        <v>0</v>
      </c>
      <c r="W35" s="425"/>
      <c r="X35" s="425"/>
      <c r="Y35" s="425"/>
      <c r="Z35" s="425"/>
      <c r="AA35" s="425"/>
      <c r="AB35" s="425"/>
      <c r="AC35" s="425"/>
      <c r="AD35" s="425"/>
      <c r="AE35" s="425"/>
      <c r="AF35" s="425"/>
      <c r="AG35" s="425"/>
      <c r="AH35" s="425"/>
      <c r="AI35" s="425"/>
      <c r="AJ35" s="425"/>
      <c r="AK35" s="425"/>
      <c r="AL35" s="425"/>
      <c r="AM35" s="425"/>
      <c r="AN35" s="425"/>
      <c r="AO35" s="425"/>
      <c r="AP35" s="425"/>
      <c r="AQ35" s="425"/>
      <c r="AR35" s="425"/>
      <c r="AS35" s="425"/>
      <c r="AT35" s="425"/>
      <c r="AU35" s="425"/>
      <c r="AV35" s="425"/>
      <c r="AW35" s="425"/>
      <c r="AX35" s="425"/>
      <c r="AY35" s="425"/>
      <c r="AZ35" s="425"/>
      <c r="BA35" s="425"/>
      <c r="BB35" s="425"/>
      <c r="BC35" s="425"/>
      <c r="BD35" s="425"/>
      <c r="BE35" s="425"/>
      <c r="BF35" s="425"/>
      <c r="BG35" s="425"/>
      <c r="BH35" s="425"/>
      <c r="BI35" s="425"/>
      <c r="BJ35" s="425"/>
      <c r="BK35" s="425"/>
      <c r="BL35" s="425"/>
      <c r="BM35" s="425"/>
      <c r="BN35" s="425"/>
      <c r="BO35" s="425"/>
      <c r="BP35" s="425"/>
      <c r="BQ35" s="425"/>
      <c r="BR35" s="425"/>
      <c r="BS35" s="425"/>
      <c r="BT35" s="425"/>
      <c r="BU35" s="425"/>
      <c r="BV35" s="425"/>
      <c r="BW35" s="425"/>
      <c r="BX35" s="425"/>
      <c r="BY35" s="425"/>
      <c r="BZ35" s="425"/>
      <c r="CA35" s="425"/>
      <c r="CB35" s="425"/>
      <c r="CC35" s="425"/>
      <c r="CD35" s="425"/>
      <c r="CE35" s="425"/>
      <c r="CF35" s="425"/>
      <c r="CG35" s="425"/>
      <c r="CH35" s="425"/>
      <c r="CI35" s="425"/>
      <c r="CJ35" s="425"/>
      <c r="CK35" s="425"/>
      <c r="CL35" s="425"/>
      <c r="CM35" s="425"/>
      <c r="CN35" s="425"/>
      <c r="CO35" s="425"/>
      <c r="CP35" s="425"/>
      <c r="CQ35" s="425"/>
      <c r="CR35" s="425"/>
      <c r="CS35" s="425"/>
      <c r="CT35" s="425"/>
      <c r="CU35" s="425"/>
      <c r="CV35" s="425"/>
      <c r="CW35" s="425"/>
      <c r="CX35" s="425"/>
      <c r="CY35" s="425"/>
      <c r="CZ35" s="425"/>
      <c r="DA35" s="425"/>
      <c r="DB35" s="425"/>
      <c r="DC35" s="425"/>
      <c r="DD35" s="425"/>
      <c r="DE35" s="425"/>
      <c r="DF35" s="425"/>
      <c r="DG35" s="425"/>
      <c r="DH35" s="425"/>
      <c r="DI35" s="425"/>
      <c r="DJ35" s="425"/>
      <c r="DK35" s="425"/>
      <c r="DL35" s="425"/>
      <c r="DM35" s="425"/>
      <c r="DN35" s="425"/>
      <c r="DO35" s="425"/>
      <c r="DP35" s="425"/>
      <c r="DQ35" s="425"/>
      <c r="DR35" s="425"/>
      <c r="DS35" s="425"/>
      <c r="DT35" s="425"/>
    </row>
    <row r="36" spans="1:124" s="26" customFormat="1" ht="15" customHeight="1" x14ac:dyDescent="0.2">
      <c r="A36" s="327" t="s">
        <v>445</v>
      </c>
      <c r="B36" s="421"/>
      <c r="C36" s="130"/>
      <c r="D36" s="130"/>
      <c r="E36" s="231"/>
      <c r="F36" s="560"/>
      <c r="G36" s="231"/>
      <c r="H36" s="231"/>
      <c r="I36" s="132"/>
      <c r="J36" s="162"/>
      <c r="K36" s="130"/>
      <c r="L36" s="130"/>
      <c r="M36" s="130"/>
      <c r="N36" s="147">
        <f>B36+F36+J36</f>
        <v>0</v>
      </c>
      <c r="O36" s="231"/>
      <c r="P36" s="231"/>
      <c r="Q36" s="132"/>
      <c r="R36" s="163"/>
      <c r="S36" s="147"/>
      <c r="T36" s="231"/>
      <c r="U36" s="231"/>
      <c r="V36" s="132">
        <f t="shared" si="15"/>
        <v>0</v>
      </c>
      <c r="W36" s="425"/>
      <c r="X36" s="425"/>
      <c r="Y36" s="425"/>
      <c r="Z36" s="425"/>
      <c r="AA36" s="425"/>
      <c r="AB36" s="425"/>
      <c r="AC36" s="425"/>
      <c r="AD36" s="425"/>
      <c r="AE36" s="425"/>
      <c r="AF36" s="425"/>
      <c r="AG36" s="425"/>
      <c r="AH36" s="425"/>
      <c r="AI36" s="425"/>
      <c r="AJ36" s="425"/>
      <c r="AK36" s="425"/>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5"/>
      <c r="BH36" s="425"/>
      <c r="BI36" s="425"/>
      <c r="BJ36" s="425"/>
      <c r="BK36" s="425"/>
      <c r="BL36" s="425"/>
      <c r="BM36" s="425"/>
      <c r="BN36" s="425"/>
      <c r="BO36" s="425"/>
      <c r="BP36" s="425"/>
      <c r="BQ36" s="425"/>
      <c r="BR36" s="425"/>
      <c r="BS36" s="425"/>
      <c r="BT36" s="425"/>
      <c r="BU36" s="425"/>
      <c r="BV36" s="425"/>
      <c r="BW36" s="425"/>
      <c r="BX36" s="425"/>
      <c r="BY36" s="425"/>
      <c r="BZ36" s="425"/>
      <c r="CA36" s="425"/>
      <c r="CB36" s="425"/>
      <c r="CC36" s="425"/>
      <c r="CD36" s="425"/>
      <c r="CE36" s="425"/>
      <c r="CF36" s="425"/>
      <c r="CG36" s="425"/>
      <c r="CH36" s="425"/>
      <c r="CI36" s="425"/>
      <c r="CJ36" s="425"/>
      <c r="CK36" s="425"/>
      <c r="CL36" s="425"/>
      <c r="CM36" s="425"/>
      <c r="CN36" s="425"/>
      <c r="CO36" s="425"/>
      <c r="CP36" s="425"/>
      <c r="CQ36" s="425"/>
      <c r="CR36" s="425"/>
      <c r="CS36" s="425"/>
      <c r="CT36" s="425"/>
      <c r="CU36" s="425"/>
      <c r="CV36" s="425"/>
      <c r="CW36" s="425"/>
      <c r="CX36" s="425"/>
      <c r="CY36" s="425"/>
      <c r="CZ36" s="425"/>
      <c r="DA36" s="425"/>
      <c r="DB36" s="425"/>
      <c r="DC36" s="425"/>
      <c r="DD36" s="425"/>
      <c r="DE36" s="425"/>
      <c r="DF36" s="425"/>
      <c r="DG36" s="425"/>
      <c r="DH36" s="425"/>
      <c r="DI36" s="425"/>
      <c r="DJ36" s="425"/>
      <c r="DK36" s="425"/>
      <c r="DL36" s="425"/>
      <c r="DM36" s="425"/>
      <c r="DN36" s="425"/>
      <c r="DO36" s="425"/>
      <c r="DP36" s="425"/>
      <c r="DQ36" s="425"/>
      <c r="DR36" s="425"/>
      <c r="DS36" s="425"/>
      <c r="DT36" s="425"/>
    </row>
    <row r="37" spans="1:124" s="26" customFormat="1" ht="15" customHeight="1" x14ac:dyDescent="0.2">
      <c r="A37" s="334" t="s">
        <v>446</v>
      </c>
      <c r="B37" s="421"/>
      <c r="C37" s="130"/>
      <c r="D37" s="130"/>
      <c r="E37" s="231"/>
      <c r="F37" s="560"/>
      <c r="G37" s="231"/>
      <c r="H37" s="231"/>
      <c r="I37" s="132"/>
      <c r="J37" s="162"/>
      <c r="K37" s="130"/>
      <c r="L37" s="130"/>
      <c r="M37" s="130"/>
      <c r="N37" s="147">
        <f>B37+F37+J37</f>
        <v>0</v>
      </c>
      <c r="O37" s="130">
        <f>C37+G37+K37</f>
        <v>0</v>
      </c>
      <c r="P37" s="130">
        <f>D37+H37+L37</f>
        <v>0</v>
      </c>
      <c r="Q37" s="132">
        <f>E37+I37+M37</f>
        <v>0</v>
      </c>
      <c r="R37" s="163"/>
      <c r="S37" s="147">
        <v>743307</v>
      </c>
      <c r="T37" s="231">
        <v>743307</v>
      </c>
      <c r="U37" s="231">
        <v>1070000</v>
      </c>
      <c r="V37" s="132">
        <f t="shared" si="15"/>
        <v>326693</v>
      </c>
      <c r="W37" s="425"/>
      <c r="X37" s="425"/>
      <c r="Y37" s="425"/>
      <c r="Z37" s="425"/>
      <c r="AA37" s="425"/>
      <c r="AB37" s="425"/>
      <c r="AC37" s="425"/>
      <c r="AD37" s="425"/>
      <c r="AE37" s="425"/>
      <c r="AF37" s="425"/>
      <c r="AG37" s="425"/>
      <c r="AH37" s="425"/>
      <c r="AI37" s="425"/>
      <c r="AJ37" s="425"/>
      <c r="AK37" s="425"/>
      <c r="AL37" s="425"/>
      <c r="AM37" s="425"/>
      <c r="AN37" s="425"/>
      <c r="AO37" s="425"/>
      <c r="AP37" s="425"/>
      <c r="AQ37" s="425"/>
      <c r="AR37" s="425"/>
      <c r="AS37" s="425"/>
      <c r="AT37" s="425"/>
      <c r="AU37" s="425"/>
      <c r="AV37" s="425"/>
      <c r="AW37" s="425"/>
      <c r="AX37" s="425"/>
      <c r="AY37" s="425"/>
      <c r="AZ37" s="425"/>
      <c r="BA37" s="425"/>
      <c r="BB37" s="425"/>
      <c r="BC37" s="425"/>
      <c r="BD37" s="425"/>
      <c r="BE37" s="425"/>
      <c r="BF37" s="425"/>
      <c r="BG37" s="425"/>
      <c r="BH37" s="425"/>
      <c r="BI37" s="425"/>
      <c r="BJ37" s="425"/>
      <c r="BK37" s="425"/>
      <c r="BL37" s="425"/>
      <c r="BM37" s="425"/>
      <c r="BN37" s="425"/>
      <c r="BO37" s="425"/>
      <c r="BP37" s="425"/>
      <c r="BQ37" s="425"/>
      <c r="BR37" s="425"/>
      <c r="BS37" s="425"/>
      <c r="BT37" s="425"/>
      <c r="BU37" s="425"/>
      <c r="BV37" s="425"/>
      <c r="BW37" s="425"/>
      <c r="BX37" s="425"/>
      <c r="BY37" s="425"/>
      <c r="BZ37" s="425"/>
      <c r="CA37" s="425"/>
      <c r="CB37" s="425"/>
      <c r="CC37" s="425"/>
      <c r="CD37" s="425"/>
      <c r="CE37" s="425"/>
      <c r="CF37" s="425"/>
      <c r="CG37" s="425"/>
      <c r="CH37" s="425"/>
      <c r="CI37" s="425"/>
      <c r="CJ37" s="425"/>
      <c r="CK37" s="425"/>
      <c r="CL37" s="425"/>
      <c r="CM37" s="425"/>
      <c r="CN37" s="425"/>
      <c r="CO37" s="425"/>
      <c r="CP37" s="425"/>
      <c r="CQ37" s="425"/>
      <c r="CR37" s="425"/>
      <c r="CS37" s="425"/>
      <c r="CT37" s="425"/>
      <c r="CU37" s="425"/>
      <c r="CV37" s="425"/>
      <c r="CW37" s="425"/>
      <c r="CX37" s="425"/>
      <c r="CY37" s="425"/>
      <c r="CZ37" s="425"/>
      <c r="DA37" s="425"/>
      <c r="DB37" s="425"/>
      <c r="DC37" s="425"/>
      <c r="DD37" s="425"/>
      <c r="DE37" s="425"/>
      <c r="DF37" s="425"/>
      <c r="DG37" s="425"/>
      <c r="DH37" s="425"/>
      <c r="DI37" s="425"/>
      <c r="DJ37" s="425"/>
      <c r="DK37" s="425"/>
      <c r="DL37" s="425"/>
      <c r="DM37" s="425"/>
      <c r="DN37" s="425"/>
      <c r="DO37" s="425"/>
      <c r="DP37" s="425"/>
      <c r="DQ37" s="425"/>
      <c r="DR37" s="425"/>
      <c r="DS37" s="425"/>
      <c r="DT37" s="425"/>
    </row>
    <row r="38" spans="1:124" s="26" customFormat="1" ht="15" customHeight="1" x14ac:dyDescent="0.2">
      <c r="A38" s="327" t="s">
        <v>447</v>
      </c>
      <c r="B38" s="421"/>
      <c r="C38" s="130"/>
      <c r="D38" s="130"/>
      <c r="E38" s="231"/>
      <c r="F38" s="560"/>
      <c r="G38" s="231"/>
      <c r="H38" s="231"/>
      <c r="I38" s="132"/>
      <c r="J38" s="162"/>
      <c r="K38" s="130"/>
      <c r="L38" s="130"/>
      <c r="M38" s="130"/>
      <c r="N38" s="147">
        <f>B38+F38+J38</f>
        <v>0</v>
      </c>
      <c r="O38" s="231"/>
      <c r="P38" s="231"/>
      <c r="Q38" s="132"/>
      <c r="R38" s="163"/>
      <c r="S38" s="147"/>
      <c r="T38" s="231"/>
      <c r="U38" s="231"/>
      <c r="V38" s="132"/>
      <c r="W38" s="425"/>
      <c r="X38" s="425"/>
      <c r="Y38" s="425"/>
      <c r="Z38" s="425"/>
      <c r="AA38" s="425"/>
      <c r="AB38" s="425"/>
      <c r="AC38" s="425"/>
      <c r="AD38" s="425"/>
      <c r="AE38" s="425"/>
      <c r="AF38" s="425"/>
      <c r="AG38" s="425"/>
      <c r="AH38" s="425"/>
      <c r="AI38" s="425"/>
      <c r="AJ38" s="425"/>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5"/>
      <c r="BH38" s="425"/>
      <c r="BI38" s="425"/>
      <c r="BJ38" s="425"/>
      <c r="BK38" s="425"/>
      <c r="BL38" s="425"/>
      <c r="BM38" s="425"/>
      <c r="BN38" s="425"/>
      <c r="BO38" s="425"/>
      <c r="BP38" s="425"/>
      <c r="BQ38" s="425"/>
      <c r="BR38" s="425"/>
      <c r="BS38" s="425"/>
      <c r="BT38" s="425"/>
      <c r="BU38" s="425"/>
      <c r="BV38" s="425"/>
      <c r="BW38" s="425"/>
      <c r="BX38" s="425"/>
      <c r="BY38" s="425"/>
      <c r="BZ38" s="425"/>
      <c r="CA38" s="425"/>
      <c r="CB38" s="425"/>
      <c r="CC38" s="425"/>
      <c r="CD38" s="425"/>
      <c r="CE38" s="425"/>
      <c r="CF38" s="425"/>
      <c r="CG38" s="425"/>
      <c r="CH38" s="425"/>
      <c r="CI38" s="425"/>
      <c r="CJ38" s="425"/>
      <c r="CK38" s="425"/>
      <c r="CL38" s="425"/>
      <c r="CM38" s="425"/>
      <c r="CN38" s="425"/>
      <c r="CO38" s="425"/>
      <c r="CP38" s="425"/>
      <c r="CQ38" s="425"/>
      <c r="CR38" s="425"/>
      <c r="CS38" s="425"/>
      <c r="CT38" s="425"/>
      <c r="CU38" s="425"/>
      <c r="CV38" s="425"/>
      <c r="CW38" s="425"/>
      <c r="CX38" s="425"/>
      <c r="CY38" s="425"/>
      <c r="CZ38" s="425"/>
      <c r="DA38" s="425"/>
      <c r="DB38" s="425"/>
      <c r="DC38" s="425"/>
      <c r="DD38" s="425"/>
      <c r="DE38" s="425"/>
      <c r="DF38" s="425"/>
      <c r="DG38" s="425"/>
      <c r="DH38" s="425"/>
      <c r="DI38" s="425"/>
      <c r="DJ38" s="425"/>
      <c r="DK38" s="425"/>
      <c r="DL38" s="425"/>
      <c r="DM38" s="425"/>
      <c r="DN38" s="425"/>
      <c r="DO38" s="425"/>
      <c r="DP38" s="425"/>
      <c r="DQ38" s="425"/>
      <c r="DR38" s="425"/>
      <c r="DS38" s="425"/>
      <c r="DT38" s="425"/>
    </row>
    <row r="39" spans="1:124" s="26" customFormat="1" ht="24" customHeight="1" x14ac:dyDescent="0.2">
      <c r="A39" s="327" t="s">
        <v>448</v>
      </c>
      <c r="B39" s="421"/>
      <c r="C39" s="130"/>
      <c r="D39" s="130"/>
      <c r="E39" s="231"/>
      <c r="F39" s="560"/>
      <c r="G39" s="231"/>
      <c r="H39" s="231"/>
      <c r="I39" s="132"/>
      <c r="J39" s="162"/>
      <c r="K39" s="130"/>
      <c r="L39" s="130"/>
      <c r="M39" s="130"/>
      <c r="N39" s="147">
        <f>B39+F39+J39</f>
        <v>0</v>
      </c>
      <c r="O39" s="231"/>
      <c r="P39" s="231"/>
      <c r="Q39" s="132"/>
      <c r="R39" s="163"/>
      <c r="S39" s="147"/>
      <c r="T39" s="231"/>
      <c r="U39" s="231"/>
      <c r="V39" s="132"/>
      <c r="W39" s="425"/>
      <c r="X39" s="425"/>
      <c r="Y39" s="425"/>
      <c r="Z39" s="425"/>
      <c r="AA39" s="425"/>
      <c r="AB39" s="425"/>
      <c r="AC39" s="425"/>
      <c r="AD39" s="425"/>
      <c r="AE39" s="425"/>
      <c r="AF39" s="425"/>
      <c r="AG39" s="425"/>
      <c r="AH39" s="425"/>
      <c r="AI39" s="425"/>
      <c r="AJ39" s="425"/>
      <c r="AK39" s="425"/>
      <c r="AL39" s="425"/>
      <c r="AM39" s="425"/>
      <c r="AN39" s="425"/>
      <c r="AO39" s="425"/>
      <c r="AP39" s="425"/>
      <c r="AQ39" s="425"/>
      <c r="AR39" s="425"/>
      <c r="AS39" s="425"/>
      <c r="AT39" s="425"/>
      <c r="AU39" s="425"/>
      <c r="AV39" s="425"/>
      <c r="AW39" s="425"/>
      <c r="AX39" s="425"/>
      <c r="AY39" s="425"/>
      <c r="AZ39" s="425"/>
      <c r="BA39" s="425"/>
      <c r="BB39" s="425"/>
      <c r="BC39" s="425"/>
      <c r="BD39" s="425"/>
      <c r="BE39" s="425"/>
      <c r="BF39" s="425"/>
      <c r="BG39" s="425"/>
      <c r="BH39" s="425"/>
      <c r="BI39" s="425"/>
      <c r="BJ39" s="425"/>
      <c r="BK39" s="425"/>
      <c r="BL39" s="425"/>
      <c r="BM39" s="425"/>
      <c r="BN39" s="425"/>
      <c r="BO39" s="425"/>
      <c r="BP39" s="425"/>
      <c r="BQ39" s="425"/>
      <c r="BR39" s="425"/>
      <c r="BS39" s="425"/>
      <c r="BT39" s="425"/>
      <c r="BU39" s="425"/>
      <c r="BV39" s="425"/>
      <c r="BW39" s="425"/>
      <c r="BX39" s="425"/>
      <c r="BY39" s="425"/>
      <c r="BZ39" s="425"/>
      <c r="CA39" s="425"/>
      <c r="CB39" s="425"/>
      <c r="CC39" s="425"/>
      <c r="CD39" s="425"/>
      <c r="CE39" s="425"/>
      <c r="CF39" s="425"/>
      <c r="CG39" s="425"/>
      <c r="CH39" s="425"/>
      <c r="CI39" s="425"/>
      <c r="CJ39" s="425"/>
      <c r="CK39" s="425"/>
      <c r="CL39" s="425"/>
      <c r="CM39" s="425"/>
      <c r="CN39" s="425"/>
      <c r="CO39" s="425"/>
      <c r="CP39" s="425"/>
      <c r="CQ39" s="425"/>
      <c r="CR39" s="425"/>
      <c r="CS39" s="425"/>
      <c r="CT39" s="425"/>
      <c r="CU39" s="425"/>
      <c r="CV39" s="425"/>
      <c r="CW39" s="425"/>
      <c r="CX39" s="425"/>
      <c r="CY39" s="425"/>
      <c r="CZ39" s="425"/>
      <c r="DA39" s="425"/>
      <c r="DB39" s="425"/>
      <c r="DC39" s="425"/>
      <c r="DD39" s="425"/>
      <c r="DE39" s="425"/>
      <c r="DF39" s="425"/>
      <c r="DG39" s="425"/>
      <c r="DH39" s="425"/>
      <c r="DI39" s="425"/>
      <c r="DJ39" s="425"/>
      <c r="DK39" s="425"/>
      <c r="DL39" s="425"/>
      <c r="DM39" s="425"/>
      <c r="DN39" s="425"/>
      <c r="DO39" s="425"/>
      <c r="DP39" s="425"/>
      <c r="DQ39" s="425"/>
      <c r="DR39" s="425"/>
      <c r="DS39" s="425"/>
      <c r="DT39" s="425"/>
    </row>
    <row r="40" spans="1:124" s="24" customFormat="1" ht="24.75" customHeight="1" x14ac:dyDescent="0.25">
      <c r="A40" s="329" t="s">
        <v>379</v>
      </c>
      <c r="B40" s="422"/>
      <c r="C40" s="95"/>
      <c r="D40" s="95"/>
      <c r="E40" s="134"/>
      <c r="F40" s="561">
        <f>F41</f>
        <v>0</v>
      </c>
      <c r="G40" s="134">
        <f>G41</f>
        <v>0</v>
      </c>
      <c r="H40" s="134">
        <f>H41</f>
        <v>0</v>
      </c>
      <c r="I40" s="606">
        <f>I41</f>
        <v>0</v>
      </c>
      <c r="J40" s="156"/>
      <c r="K40" s="95">
        <f>K41</f>
        <v>0</v>
      </c>
      <c r="L40" s="95">
        <f>L41</f>
        <v>0</v>
      </c>
      <c r="M40" s="95">
        <f>M41</f>
        <v>0</v>
      </c>
      <c r="N40" s="146">
        <f>SUM(N41)</f>
        <v>0</v>
      </c>
      <c r="O40" s="95">
        <f>SUM(O41)</f>
        <v>0</v>
      </c>
      <c r="P40" s="95">
        <f>SUM(P41)</f>
        <v>0</v>
      </c>
      <c r="Q40" s="606">
        <f>SUM(Q41)</f>
        <v>0</v>
      </c>
      <c r="R40" s="156" t="e">
        <f>#REF!+#REF!+#REF!+#REF!+#REF!</f>
        <v>#REF!</v>
      </c>
      <c r="S40" s="146"/>
      <c r="T40" s="134"/>
      <c r="U40" s="134"/>
      <c r="V40" s="606"/>
      <c r="W40" s="419"/>
      <c r="X40" s="419"/>
      <c r="Y40" s="419"/>
      <c r="Z40" s="419"/>
      <c r="AA40" s="419"/>
      <c r="AB40" s="419"/>
      <c r="AC40" s="419"/>
      <c r="AD40" s="419"/>
      <c r="AE40" s="419"/>
      <c r="AF40" s="419"/>
      <c r="AG40" s="419"/>
      <c r="AH40" s="419"/>
      <c r="AI40" s="419"/>
      <c r="AJ40" s="419"/>
      <c r="AK40" s="419"/>
      <c r="AL40" s="419"/>
      <c r="AM40" s="419"/>
      <c r="AN40" s="419"/>
      <c r="AO40" s="419"/>
      <c r="AP40" s="419"/>
      <c r="AQ40" s="419"/>
      <c r="AR40" s="419"/>
      <c r="AS40" s="419"/>
      <c r="AT40" s="419"/>
      <c r="AU40" s="419"/>
      <c r="AV40" s="419"/>
      <c r="AW40" s="419"/>
      <c r="AX40" s="419"/>
      <c r="AY40" s="419"/>
      <c r="AZ40" s="419"/>
      <c r="BA40" s="419"/>
      <c r="BB40" s="419"/>
      <c r="BC40" s="419"/>
      <c r="BD40" s="419"/>
      <c r="BE40" s="419"/>
      <c r="BF40" s="419"/>
      <c r="BG40" s="419"/>
      <c r="BH40" s="419"/>
      <c r="BI40" s="419"/>
      <c r="BJ40" s="419"/>
      <c r="BK40" s="419"/>
      <c r="BL40" s="419"/>
      <c r="BM40" s="419"/>
      <c r="BN40" s="419"/>
      <c r="BO40" s="419"/>
      <c r="BP40" s="419"/>
      <c r="BQ40" s="419"/>
      <c r="BR40" s="419"/>
      <c r="BS40" s="419"/>
      <c r="BT40" s="419"/>
      <c r="BU40" s="419"/>
      <c r="BV40" s="419"/>
      <c r="BW40" s="419"/>
      <c r="BX40" s="419"/>
      <c r="BY40" s="419"/>
      <c r="BZ40" s="419"/>
      <c r="CA40" s="419"/>
      <c r="CB40" s="419"/>
      <c r="CC40" s="419"/>
      <c r="CD40" s="419"/>
      <c r="CE40" s="419"/>
      <c r="CF40" s="419"/>
      <c r="CG40" s="419"/>
      <c r="CH40" s="419"/>
      <c r="CI40" s="419"/>
      <c r="CJ40" s="419"/>
      <c r="CK40" s="419"/>
      <c r="CL40" s="419"/>
      <c r="CM40" s="419"/>
      <c r="CN40" s="419"/>
      <c r="CO40" s="419"/>
      <c r="CP40" s="419"/>
      <c r="CQ40" s="419"/>
      <c r="CR40" s="419"/>
      <c r="CS40" s="419"/>
      <c r="CT40" s="419"/>
      <c r="CU40" s="419"/>
      <c r="CV40" s="419"/>
      <c r="CW40" s="419"/>
      <c r="CX40" s="419"/>
      <c r="CY40" s="419"/>
      <c r="CZ40" s="419"/>
      <c r="DA40" s="419"/>
      <c r="DB40" s="419"/>
      <c r="DC40" s="419"/>
      <c r="DD40" s="419"/>
      <c r="DE40" s="419"/>
      <c r="DF40" s="419"/>
      <c r="DG40" s="419"/>
      <c r="DH40" s="419"/>
      <c r="DI40" s="419"/>
      <c r="DJ40" s="419"/>
      <c r="DK40" s="419"/>
      <c r="DL40" s="419"/>
      <c r="DM40" s="419"/>
      <c r="DN40" s="419"/>
      <c r="DO40" s="419"/>
      <c r="DP40" s="419"/>
      <c r="DQ40" s="419"/>
      <c r="DR40" s="419"/>
      <c r="DS40" s="419"/>
      <c r="DT40" s="419"/>
    </row>
    <row r="41" spans="1:124" s="26" customFormat="1" x14ac:dyDescent="0.2">
      <c r="A41" s="327" t="s">
        <v>26</v>
      </c>
      <c r="B41" s="421"/>
      <c r="C41" s="130"/>
      <c r="D41" s="130"/>
      <c r="E41" s="231"/>
      <c r="F41" s="560">
        <v>0</v>
      </c>
      <c r="G41" s="231">
        <v>0</v>
      </c>
      <c r="H41" s="231">
        <v>0</v>
      </c>
      <c r="I41" s="132">
        <f>H41-G41</f>
        <v>0</v>
      </c>
      <c r="J41" s="162"/>
      <c r="K41" s="130"/>
      <c r="L41" s="130"/>
      <c r="M41" s="130"/>
      <c r="N41" s="147">
        <f t="shared" ref="N41:P45" si="25">B41+F41+J41</f>
        <v>0</v>
      </c>
      <c r="O41" s="130">
        <f t="shared" si="25"/>
        <v>0</v>
      </c>
      <c r="P41" s="130">
        <f t="shared" si="25"/>
        <v>0</v>
      </c>
      <c r="Q41" s="132">
        <f t="shared" ref="Q41:Q45" si="26">E41+I41+M41</f>
        <v>0</v>
      </c>
      <c r="R41" s="163"/>
      <c r="S41" s="147"/>
      <c r="T41" s="231"/>
      <c r="U41" s="231"/>
      <c r="V41" s="132"/>
      <c r="W41" s="425"/>
      <c r="X41" s="425"/>
      <c r="Y41" s="425"/>
      <c r="Z41" s="425"/>
      <c r="AA41" s="425"/>
      <c r="AB41" s="425"/>
      <c r="AC41" s="425"/>
      <c r="AD41" s="425"/>
      <c r="AE41" s="425"/>
      <c r="AF41" s="425"/>
      <c r="AG41" s="425"/>
      <c r="AH41" s="425"/>
      <c r="AI41" s="425"/>
      <c r="AJ41" s="425"/>
      <c r="AK41" s="425"/>
      <c r="AL41" s="425"/>
      <c r="AM41" s="425"/>
      <c r="AN41" s="425"/>
      <c r="AO41" s="425"/>
      <c r="AP41" s="425"/>
      <c r="AQ41" s="425"/>
      <c r="AR41" s="425"/>
      <c r="AS41" s="425"/>
      <c r="AT41" s="425"/>
      <c r="AU41" s="425"/>
      <c r="AV41" s="425"/>
      <c r="AW41" s="425"/>
      <c r="AX41" s="425"/>
      <c r="AY41" s="425"/>
      <c r="AZ41" s="425"/>
      <c r="BA41" s="425"/>
      <c r="BB41" s="425"/>
      <c r="BC41" s="425"/>
      <c r="BD41" s="425"/>
      <c r="BE41" s="425"/>
      <c r="BF41" s="425"/>
      <c r="BG41" s="425"/>
      <c r="BH41" s="425"/>
      <c r="BI41" s="425"/>
      <c r="BJ41" s="425"/>
      <c r="BK41" s="425"/>
      <c r="BL41" s="425"/>
      <c r="BM41" s="425"/>
      <c r="BN41" s="425"/>
      <c r="BO41" s="425"/>
      <c r="BP41" s="425"/>
      <c r="BQ41" s="425"/>
      <c r="BR41" s="425"/>
      <c r="BS41" s="425"/>
      <c r="BT41" s="425"/>
      <c r="BU41" s="425"/>
      <c r="BV41" s="425"/>
      <c r="BW41" s="425"/>
      <c r="BX41" s="425"/>
      <c r="BY41" s="425"/>
      <c r="BZ41" s="425"/>
      <c r="CA41" s="425"/>
      <c r="CB41" s="425"/>
      <c r="CC41" s="425"/>
      <c r="CD41" s="425"/>
      <c r="CE41" s="425"/>
      <c r="CF41" s="425"/>
      <c r="CG41" s="425"/>
      <c r="CH41" s="425"/>
      <c r="CI41" s="425"/>
      <c r="CJ41" s="425"/>
      <c r="CK41" s="425"/>
      <c r="CL41" s="425"/>
      <c r="CM41" s="425"/>
      <c r="CN41" s="425"/>
      <c r="CO41" s="425"/>
      <c r="CP41" s="425"/>
      <c r="CQ41" s="425"/>
      <c r="CR41" s="425"/>
      <c r="CS41" s="425"/>
      <c r="CT41" s="425"/>
      <c r="CU41" s="425"/>
      <c r="CV41" s="425"/>
      <c r="CW41" s="425"/>
      <c r="CX41" s="425"/>
      <c r="CY41" s="425"/>
      <c r="CZ41" s="425"/>
      <c r="DA41" s="425"/>
      <c r="DB41" s="425"/>
      <c r="DC41" s="425"/>
      <c r="DD41" s="425"/>
      <c r="DE41" s="425"/>
      <c r="DF41" s="425"/>
      <c r="DG41" s="425"/>
      <c r="DH41" s="425"/>
      <c r="DI41" s="425"/>
      <c r="DJ41" s="425"/>
      <c r="DK41" s="425"/>
      <c r="DL41" s="425"/>
      <c r="DM41" s="425"/>
      <c r="DN41" s="425"/>
      <c r="DO41" s="425"/>
      <c r="DP41" s="425"/>
      <c r="DQ41" s="425"/>
      <c r="DR41" s="425"/>
      <c r="DS41" s="425"/>
      <c r="DT41" s="425"/>
    </row>
    <row r="42" spans="1:124" s="24" customFormat="1" ht="27" customHeight="1" x14ac:dyDescent="0.25">
      <c r="A42" s="328" t="s">
        <v>380</v>
      </c>
      <c r="B42" s="422"/>
      <c r="C42" s="95"/>
      <c r="D42" s="95"/>
      <c r="E42" s="134"/>
      <c r="F42" s="561"/>
      <c r="G42" s="134"/>
      <c r="H42" s="134"/>
      <c r="I42" s="606"/>
      <c r="J42" s="156"/>
      <c r="K42" s="95"/>
      <c r="L42" s="95"/>
      <c r="M42" s="95"/>
      <c r="N42" s="146">
        <f t="shared" si="25"/>
        <v>0</v>
      </c>
      <c r="O42" s="95">
        <f t="shared" si="25"/>
        <v>0</v>
      </c>
      <c r="P42" s="95">
        <f t="shared" si="25"/>
        <v>0</v>
      </c>
      <c r="Q42" s="606">
        <f t="shared" si="26"/>
        <v>0</v>
      </c>
      <c r="R42" s="156" t="e">
        <f>#REF!+#REF!+#REF!+#REF!+#REF!</f>
        <v>#REF!</v>
      </c>
      <c r="S42" s="146"/>
      <c r="T42" s="134"/>
      <c r="U42" s="134"/>
      <c r="V42" s="606"/>
      <c r="W42" s="419"/>
      <c r="X42" s="419"/>
      <c r="Y42" s="419"/>
      <c r="Z42" s="419"/>
      <c r="AA42" s="419"/>
      <c r="AB42" s="419"/>
      <c r="AC42" s="419"/>
      <c r="AD42" s="419"/>
      <c r="AE42" s="419"/>
      <c r="AF42" s="419"/>
      <c r="AG42" s="419"/>
      <c r="AH42" s="419"/>
      <c r="AI42" s="419"/>
      <c r="AJ42" s="419"/>
      <c r="AK42" s="419"/>
      <c r="AL42" s="419"/>
      <c r="AM42" s="419"/>
      <c r="AN42" s="419"/>
      <c r="AO42" s="419"/>
      <c r="AP42" s="419"/>
      <c r="AQ42" s="419"/>
      <c r="AR42" s="419"/>
      <c r="AS42" s="419"/>
      <c r="AT42" s="419"/>
      <c r="AU42" s="419"/>
      <c r="AV42" s="419"/>
      <c r="AW42" s="419"/>
      <c r="AX42" s="419"/>
      <c r="AY42" s="419"/>
      <c r="AZ42" s="419"/>
      <c r="BA42" s="419"/>
      <c r="BB42" s="419"/>
      <c r="BC42" s="419"/>
      <c r="BD42" s="419"/>
      <c r="BE42" s="419"/>
      <c r="BF42" s="419"/>
      <c r="BG42" s="419"/>
      <c r="BH42" s="419"/>
      <c r="BI42" s="419"/>
      <c r="BJ42" s="419"/>
      <c r="BK42" s="419"/>
      <c r="BL42" s="419"/>
      <c r="BM42" s="419"/>
      <c r="BN42" s="419"/>
      <c r="BO42" s="419"/>
      <c r="BP42" s="419"/>
      <c r="BQ42" s="419"/>
      <c r="BR42" s="419"/>
      <c r="BS42" s="419"/>
      <c r="BT42" s="419"/>
      <c r="BU42" s="419"/>
      <c r="BV42" s="419"/>
      <c r="BW42" s="419"/>
      <c r="BX42" s="419"/>
      <c r="BY42" s="419"/>
      <c r="BZ42" s="419"/>
      <c r="CA42" s="419"/>
      <c r="CB42" s="419"/>
      <c r="CC42" s="419"/>
      <c r="CD42" s="419"/>
      <c r="CE42" s="419"/>
      <c r="CF42" s="419"/>
      <c r="CG42" s="419"/>
      <c r="CH42" s="419"/>
      <c r="CI42" s="419"/>
      <c r="CJ42" s="419"/>
      <c r="CK42" s="419"/>
      <c r="CL42" s="419"/>
      <c r="CM42" s="419"/>
      <c r="CN42" s="419"/>
      <c r="CO42" s="419"/>
      <c r="CP42" s="419"/>
      <c r="CQ42" s="419"/>
      <c r="CR42" s="419"/>
      <c r="CS42" s="419"/>
      <c r="CT42" s="419"/>
      <c r="CU42" s="419"/>
      <c r="CV42" s="419"/>
      <c r="CW42" s="419"/>
      <c r="CX42" s="419"/>
      <c r="CY42" s="419"/>
      <c r="CZ42" s="419"/>
      <c r="DA42" s="419"/>
      <c r="DB42" s="419"/>
      <c r="DC42" s="419"/>
      <c r="DD42" s="419"/>
      <c r="DE42" s="419"/>
      <c r="DF42" s="419"/>
      <c r="DG42" s="419"/>
      <c r="DH42" s="419"/>
      <c r="DI42" s="419"/>
      <c r="DJ42" s="419"/>
      <c r="DK42" s="419"/>
      <c r="DL42" s="419"/>
      <c r="DM42" s="419"/>
      <c r="DN42" s="419"/>
      <c r="DO42" s="419"/>
      <c r="DP42" s="419"/>
      <c r="DQ42" s="419"/>
      <c r="DR42" s="419"/>
      <c r="DS42" s="419"/>
      <c r="DT42" s="419"/>
    </row>
    <row r="43" spans="1:124" s="26" customFormat="1" ht="22.7" customHeight="1" x14ac:dyDescent="0.2">
      <c r="A43" s="327" t="s">
        <v>29</v>
      </c>
      <c r="B43" s="421"/>
      <c r="C43" s="130"/>
      <c r="D43" s="130"/>
      <c r="E43" s="231"/>
      <c r="F43" s="560"/>
      <c r="G43" s="231"/>
      <c r="H43" s="231"/>
      <c r="I43" s="132"/>
      <c r="J43" s="162"/>
      <c r="K43" s="130"/>
      <c r="L43" s="130"/>
      <c r="M43" s="130"/>
      <c r="N43" s="147">
        <f t="shared" si="25"/>
        <v>0</v>
      </c>
      <c r="O43" s="130">
        <f t="shared" si="25"/>
        <v>0</v>
      </c>
      <c r="P43" s="130">
        <f t="shared" si="25"/>
        <v>0</v>
      </c>
      <c r="Q43" s="132">
        <f t="shared" si="26"/>
        <v>0</v>
      </c>
      <c r="R43" s="163"/>
      <c r="S43" s="147"/>
      <c r="T43" s="231"/>
      <c r="U43" s="231"/>
      <c r="V43" s="132"/>
      <c r="W43" s="425"/>
      <c r="X43" s="425"/>
      <c r="Y43" s="425"/>
      <c r="Z43" s="425"/>
      <c r="AA43" s="425"/>
      <c r="AB43" s="425"/>
      <c r="AC43" s="425"/>
      <c r="AD43" s="425"/>
      <c r="AE43" s="425"/>
      <c r="AF43" s="425"/>
      <c r="AG43" s="425"/>
      <c r="AH43" s="425"/>
      <c r="AI43" s="425"/>
      <c r="AJ43" s="425"/>
      <c r="AK43" s="425"/>
      <c r="AL43" s="425"/>
      <c r="AM43" s="425"/>
      <c r="AN43" s="425"/>
      <c r="AO43" s="425"/>
      <c r="AP43" s="425"/>
      <c r="AQ43" s="425"/>
      <c r="AR43" s="425"/>
      <c r="AS43" s="425"/>
      <c r="AT43" s="425"/>
      <c r="AU43" s="425"/>
      <c r="AV43" s="425"/>
      <c r="AW43" s="425"/>
      <c r="AX43" s="425"/>
      <c r="AY43" s="425"/>
      <c r="AZ43" s="425"/>
      <c r="BA43" s="425"/>
      <c r="BB43" s="425"/>
      <c r="BC43" s="425"/>
      <c r="BD43" s="425"/>
      <c r="BE43" s="425"/>
      <c r="BF43" s="425"/>
      <c r="BG43" s="425"/>
      <c r="BH43" s="425"/>
      <c r="BI43" s="425"/>
      <c r="BJ43" s="425"/>
      <c r="BK43" s="425"/>
      <c r="BL43" s="425"/>
      <c r="BM43" s="425"/>
      <c r="BN43" s="425"/>
      <c r="BO43" s="425"/>
      <c r="BP43" s="425"/>
      <c r="BQ43" s="425"/>
      <c r="BR43" s="425"/>
      <c r="BS43" s="425"/>
      <c r="BT43" s="425"/>
      <c r="BU43" s="425"/>
      <c r="BV43" s="425"/>
      <c r="BW43" s="425"/>
      <c r="BX43" s="425"/>
      <c r="BY43" s="425"/>
      <c r="BZ43" s="425"/>
      <c r="CA43" s="425"/>
      <c r="CB43" s="425"/>
      <c r="CC43" s="425"/>
      <c r="CD43" s="425"/>
      <c r="CE43" s="425"/>
      <c r="CF43" s="425"/>
      <c r="CG43" s="425"/>
      <c r="CH43" s="425"/>
      <c r="CI43" s="425"/>
      <c r="CJ43" s="425"/>
      <c r="CK43" s="425"/>
      <c r="CL43" s="425"/>
      <c r="CM43" s="425"/>
      <c r="CN43" s="425"/>
      <c r="CO43" s="425"/>
      <c r="CP43" s="425"/>
      <c r="CQ43" s="425"/>
      <c r="CR43" s="425"/>
      <c r="CS43" s="425"/>
      <c r="CT43" s="425"/>
      <c r="CU43" s="425"/>
      <c r="CV43" s="425"/>
      <c r="CW43" s="425"/>
      <c r="CX43" s="425"/>
      <c r="CY43" s="425"/>
      <c r="CZ43" s="425"/>
      <c r="DA43" s="425"/>
      <c r="DB43" s="425"/>
      <c r="DC43" s="425"/>
      <c r="DD43" s="425"/>
      <c r="DE43" s="425"/>
      <c r="DF43" s="425"/>
      <c r="DG43" s="425"/>
      <c r="DH43" s="425"/>
      <c r="DI43" s="425"/>
      <c r="DJ43" s="425"/>
      <c r="DK43" s="425"/>
      <c r="DL43" s="425"/>
      <c r="DM43" s="425"/>
      <c r="DN43" s="425"/>
      <c r="DO43" s="425"/>
      <c r="DP43" s="425"/>
      <c r="DQ43" s="425"/>
      <c r="DR43" s="425"/>
      <c r="DS43" s="425"/>
      <c r="DT43" s="425"/>
    </row>
    <row r="44" spans="1:124" s="24" customFormat="1" ht="18" customHeight="1" x14ac:dyDescent="0.25">
      <c r="A44" s="329" t="s">
        <v>381</v>
      </c>
      <c r="B44" s="95">
        <f t="shared" ref="B44:D44" si="27">B42+B40+B34+B21+B17+B15+B12</f>
        <v>7301488</v>
      </c>
      <c r="C44" s="95">
        <f t="shared" ref="C44" si="28">C42+C40+C34+C21+C17+C15+C12</f>
        <v>16761488</v>
      </c>
      <c r="D44" s="95">
        <f t="shared" si="27"/>
        <v>16761488</v>
      </c>
      <c r="E44" s="134">
        <f t="shared" ref="E44:M44" si="29">E42+E40+E34+E21+E17+E15+E12</f>
        <v>0</v>
      </c>
      <c r="F44" s="561">
        <f t="shared" ref="F44:H44" si="30">F42+F40+F34+F21+F17+F15+F12</f>
        <v>181933270</v>
      </c>
      <c r="G44" s="134">
        <f t="shared" ref="G44" si="31">G42+G40+G34+G21+G17+G15+G12</f>
        <v>200613219</v>
      </c>
      <c r="H44" s="134">
        <f t="shared" si="30"/>
        <v>201713219</v>
      </c>
      <c r="I44" s="606">
        <f t="shared" si="29"/>
        <v>1100000</v>
      </c>
      <c r="J44" s="156">
        <f t="shared" ref="J44:L44" si="32">J42+J40+J34+J21+J17+J15+J12</f>
        <v>4433568</v>
      </c>
      <c r="K44" s="95">
        <f t="shared" ref="K44" si="33">K42+K40+K34+K21+K17+K15+K12</f>
        <v>4163568</v>
      </c>
      <c r="L44" s="95">
        <f t="shared" si="32"/>
        <v>4163568</v>
      </c>
      <c r="M44" s="95">
        <f t="shared" si="29"/>
        <v>0</v>
      </c>
      <c r="N44" s="146">
        <f t="shared" si="25"/>
        <v>193668326</v>
      </c>
      <c r="O44" s="95">
        <f t="shared" si="25"/>
        <v>221538275</v>
      </c>
      <c r="P44" s="95">
        <f t="shared" si="25"/>
        <v>222638275</v>
      </c>
      <c r="Q44" s="606">
        <f t="shared" si="26"/>
        <v>1100000</v>
      </c>
      <c r="R44" s="156" t="e">
        <f>R42+R40+R34+R21+R17+R15+R12</f>
        <v>#REF!</v>
      </c>
      <c r="S44" s="146">
        <f>S42+S40+S34+S21+S17+S15+S12</f>
        <v>64232559</v>
      </c>
      <c r="T44" s="95">
        <f>T42+T40+T34+T21+T17+T15+T12</f>
        <v>58040385</v>
      </c>
      <c r="U44" s="95">
        <f>U42+U40+U34+U21+U17+U15+U12</f>
        <v>58166385</v>
      </c>
      <c r="V44" s="606">
        <f>V42+V40+V34+V21+V17+V15+V12</f>
        <v>126000</v>
      </c>
      <c r="W44" s="423"/>
      <c r="X44" s="423"/>
      <c r="Y44" s="423"/>
      <c r="Z44" s="419"/>
      <c r="AA44" s="419"/>
      <c r="AB44" s="419"/>
      <c r="AC44" s="419"/>
      <c r="AD44" s="419"/>
      <c r="AE44" s="419"/>
      <c r="AF44" s="419"/>
      <c r="AG44" s="419"/>
      <c r="AH44" s="419"/>
      <c r="AI44" s="419"/>
      <c r="AJ44" s="419"/>
      <c r="AK44" s="419"/>
      <c r="AL44" s="419"/>
      <c r="AM44" s="419"/>
      <c r="AN44" s="419"/>
      <c r="AO44" s="419"/>
      <c r="AP44" s="419"/>
      <c r="AQ44" s="419"/>
      <c r="AR44" s="419"/>
      <c r="AS44" s="419"/>
      <c r="AT44" s="419"/>
      <c r="AU44" s="419"/>
      <c r="AV44" s="419"/>
      <c r="AW44" s="419"/>
      <c r="AX44" s="419"/>
      <c r="AY44" s="419"/>
      <c r="AZ44" s="419"/>
      <c r="BA44" s="419"/>
      <c r="BB44" s="419"/>
      <c r="BC44" s="419"/>
      <c r="BD44" s="419"/>
      <c r="BE44" s="419"/>
      <c r="BF44" s="419"/>
      <c r="BG44" s="419"/>
      <c r="BH44" s="419"/>
      <c r="BI44" s="419"/>
      <c r="BJ44" s="419"/>
      <c r="BK44" s="419"/>
      <c r="BL44" s="419"/>
      <c r="BM44" s="419"/>
      <c r="BN44" s="419"/>
      <c r="BO44" s="419"/>
      <c r="BP44" s="419"/>
      <c r="BQ44" s="419"/>
      <c r="BR44" s="419"/>
      <c r="BS44" s="419"/>
      <c r="BT44" s="419"/>
      <c r="BU44" s="419"/>
      <c r="BV44" s="419"/>
      <c r="BW44" s="419"/>
      <c r="BX44" s="419"/>
      <c r="BY44" s="419"/>
      <c r="BZ44" s="419"/>
      <c r="CA44" s="419"/>
      <c r="CB44" s="419"/>
      <c r="CC44" s="419"/>
      <c r="CD44" s="419"/>
      <c r="CE44" s="419"/>
      <c r="CF44" s="419"/>
      <c r="CG44" s="419"/>
      <c r="CH44" s="419"/>
      <c r="CI44" s="419"/>
      <c r="CJ44" s="419"/>
      <c r="CK44" s="419"/>
      <c r="CL44" s="419"/>
      <c r="CM44" s="419"/>
      <c r="CN44" s="419"/>
      <c r="CO44" s="419"/>
      <c r="CP44" s="419"/>
      <c r="CQ44" s="419"/>
      <c r="CR44" s="419"/>
      <c r="CS44" s="419"/>
      <c r="CT44" s="419"/>
      <c r="CU44" s="419"/>
      <c r="CV44" s="419"/>
      <c r="CW44" s="419"/>
      <c r="CX44" s="419"/>
      <c r="CY44" s="419"/>
      <c r="CZ44" s="419"/>
      <c r="DA44" s="419"/>
      <c r="DB44" s="419"/>
      <c r="DC44" s="419"/>
      <c r="DD44" s="419"/>
      <c r="DE44" s="419"/>
      <c r="DF44" s="419"/>
      <c r="DG44" s="419"/>
      <c r="DH44" s="419"/>
      <c r="DI44" s="419"/>
      <c r="DJ44" s="419"/>
      <c r="DK44" s="419"/>
      <c r="DL44" s="419"/>
      <c r="DM44" s="419"/>
      <c r="DN44" s="419"/>
      <c r="DO44" s="419"/>
      <c r="DP44" s="419"/>
      <c r="DQ44" s="419"/>
      <c r="DR44" s="419"/>
      <c r="DS44" s="419"/>
      <c r="DT44" s="419"/>
    </row>
    <row r="45" spans="1:124" s="24" customFormat="1" ht="18" customHeight="1" x14ac:dyDescent="0.25">
      <c r="A45" s="328" t="s">
        <v>382</v>
      </c>
      <c r="B45" s="95">
        <f t="shared" ref="B45:D45" si="34">B46+B49+B50</f>
        <v>67666747</v>
      </c>
      <c r="C45" s="95">
        <f t="shared" ref="C45" si="35">C46+C49+C50</f>
        <v>59284012</v>
      </c>
      <c r="D45" s="95">
        <f t="shared" si="34"/>
        <v>60626400</v>
      </c>
      <c r="E45" s="134">
        <f t="shared" ref="E45:M45" si="36">E46+E49+E50</f>
        <v>1342388</v>
      </c>
      <c r="F45" s="561">
        <f t="shared" ref="F45" si="37">F46+F49+F50</f>
        <v>79366730</v>
      </c>
      <c r="G45" s="134">
        <f>G46+G49+G50</f>
        <v>82929434</v>
      </c>
      <c r="H45" s="134">
        <f>H46+H49+H50</f>
        <v>82575422</v>
      </c>
      <c r="I45" s="606">
        <f>I46+I49+I50</f>
        <v>-354012</v>
      </c>
      <c r="J45" s="156">
        <f t="shared" ref="J45:L45" si="38">J46+J49+J50</f>
        <v>69147664</v>
      </c>
      <c r="K45" s="95">
        <f t="shared" ref="K45" si="39">K46+K49+K50</f>
        <v>69587993</v>
      </c>
      <c r="L45" s="95">
        <f t="shared" si="38"/>
        <v>69672904</v>
      </c>
      <c r="M45" s="95">
        <f t="shared" si="36"/>
        <v>84911</v>
      </c>
      <c r="N45" s="146">
        <f t="shared" si="25"/>
        <v>216181141</v>
      </c>
      <c r="O45" s="95">
        <f t="shared" si="25"/>
        <v>211801439</v>
      </c>
      <c r="P45" s="95">
        <f t="shared" si="25"/>
        <v>212874726</v>
      </c>
      <c r="Q45" s="606">
        <f t="shared" si="26"/>
        <v>1073287</v>
      </c>
      <c r="R45" s="156" t="e">
        <f>R46+R49+R50</f>
        <v>#REF!</v>
      </c>
      <c r="S45" s="146">
        <f>S46+S49+S50</f>
        <v>418371475</v>
      </c>
      <c r="T45" s="95">
        <f>T46+T49+T50</f>
        <v>439036159</v>
      </c>
      <c r="U45" s="95">
        <f>U46+U49+U50</f>
        <v>433300677</v>
      </c>
      <c r="V45" s="606">
        <f>V46+V49+V50</f>
        <v>-5735482</v>
      </c>
      <c r="W45" s="423"/>
      <c r="X45" s="419"/>
      <c r="Y45" s="419"/>
      <c r="Z45" s="419"/>
      <c r="AA45" s="419"/>
      <c r="AB45" s="419"/>
      <c r="AC45" s="419"/>
      <c r="AD45" s="419"/>
      <c r="AE45" s="419"/>
      <c r="AF45" s="419"/>
      <c r="AG45" s="419"/>
      <c r="AH45" s="419"/>
      <c r="AI45" s="419"/>
      <c r="AJ45" s="419"/>
      <c r="AK45" s="419"/>
      <c r="AL45" s="419"/>
      <c r="AM45" s="419"/>
      <c r="AN45" s="419"/>
      <c r="AO45" s="419"/>
      <c r="AP45" s="419"/>
      <c r="AQ45" s="419"/>
      <c r="AR45" s="419"/>
      <c r="AS45" s="419"/>
      <c r="AT45" s="419"/>
      <c r="AU45" s="419"/>
      <c r="AV45" s="419"/>
      <c r="AW45" s="419"/>
      <c r="AX45" s="419"/>
      <c r="AY45" s="419"/>
      <c r="AZ45" s="419"/>
      <c r="BA45" s="419"/>
      <c r="BB45" s="419"/>
      <c r="BC45" s="419"/>
      <c r="BD45" s="419"/>
      <c r="BE45" s="419"/>
      <c r="BF45" s="419"/>
      <c r="BG45" s="419"/>
      <c r="BH45" s="419"/>
      <c r="BI45" s="419"/>
      <c r="BJ45" s="419"/>
      <c r="BK45" s="419"/>
      <c r="BL45" s="419"/>
      <c r="BM45" s="419"/>
      <c r="BN45" s="419"/>
      <c r="BO45" s="419"/>
      <c r="BP45" s="419"/>
      <c r="BQ45" s="419"/>
      <c r="BR45" s="419"/>
      <c r="BS45" s="419"/>
      <c r="BT45" s="419"/>
      <c r="BU45" s="419"/>
      <c r="BV45" s="419"/>
      <c r="BW45" s="419"/>
      <c r="BX45" s="419"/>
      <c r="BY45" s="419"/>
      <c r="BZ45" s="419"/>
      <c r="CA45" s="419"/>
      <c r="CB45" s="419"/>
      <c r="CC45" s="419"/>
      <c r="CD45" s="419"/>
      <c r="CE45" s="419"/>
      <c r="CF45" s="419"/>
      <c r="CG45" s="419"/>
      <c r="CH45" s="419"/>
      <c r="CI45" s="419"/>
      <c r="CJ45" s="419"/>
      <c r="CK45" s="419"/>
      <c r="CL45" s="419"/>
      <c r="CM45" s="419"/>
      <c r="CN45" s="419"/>
      <c r="CO45" s="419"/>
      <c r="CP45" s="419"/>
      <c r="CQ45" s="419"/>
      <c r="CR45" s="419"/>
      <c r="CS45" s="419"/>
      <c r="CT45" s="419"/>
      <c r="CU45" s="419"/>
      <c r="CV45" s="419"/>
      <c r="CW45" s="419"/>
      <c r="CX45" s="419"/>
      <c r="CY45" s="419"/>
      <c r="CZ45" s="419"/>
      <c r="DA45" s="419"/>
      <c r="DB45" s="419"/>
      <c r="DC45" s="419"/>
      <c r="DD45" s="419"/>
      <c r="DE45" s="419"/>
      <c r="DF45" s="419"/>
      <c r="DG45" s="419"/>
      <c r="DH45" s="419"/>
      <c r="DI45" s="419"/>
      <c r="DJ45" s="419"/>
      <c r="DK45" s="419"/>
      <c r="DL45" s="419"/>
      <c r="DM45" s="419"/>
      <c r="DN45" s="419"/>
      <c r="DO45" s="419"/>
      <c r="DP45" s="419"/>
      <c r="DQ45" s="419"/>
      <c r="DR45" s="419"/>
      <c r="DS45" s="419"/>
      <c r="DT45" s="419"/>
    </row>
    <row r="46" spans="1:124" s="24" customFormat="1" ht="28.5" customHeight="1" x14ac:dyDescent="0.25">
      <c r="A46" s="328" t="s">
        <v>30</v>
      </c>
      <c r="B46" s="95">
        <f t="shared" ref="B46" si="40">SUM(B47:B48)</f>
        <v>10526479</v>
      </c>
      <c r="C46" s="95">
        <f t="shared" ref="C46" si="41">SUM(C47:C48)</f>
        <v>12932260</v>
      </c>
      <c r="D46" s="95">
        <f t="shared" ref="D46" si="42">SUM(D47:D48)</f>
        <v>12932260</v>
      </c>
      <c r="E46" s="134">
        <f t="shared" ref="E46:Q46" si="43">SUM(E47:E48)</f>
        <v>0</v>
      </c>
      <c r="F46" s="561">
        <f t="shared" ref="F46:H46" si="44">SUM(F47:F48)</f>
        <v>0</v>
      </c>
      <c r="G46" s="134">
        <f t="shared" ref="G46" si="45">SUM(G47:G48)</f>
        <v>11085110</v>
      </c>
      <c r="H46" s="134">
        <f t="shared" si="44"/>
        <v>11085110</v>
      </c>
      <c r="I46" s="606">
        <f t="shared" si="43"/>
        <v>0</v>
      </c>
      <c r="J46" s="156">
        <f t="shared" ref="J46:L46" si="46">SUM(J47:J48)</f>
        <v>178958</v>
      </c>
      <c r="K46" s="95">
        <f t="shared" ref="K46" si="47">SUM(K47:K48)</f>
        <v>4864290</v>
      </c>
      <c r="L46" s="95">
        <f t="shared" si="46"/>
        <v>4864290</v>
      </c>
      <c r="M46" s="95">
        <f t="shared" si="43"/>
        <v>0</v>
      </c>
      <c r="N46" s="146">
        <f t="shared" si="43"/>
        <v>10705437</v>
      </c>
      <c r="O46" s="95">
        <f t="shared" si="43"/>
        <v>28881660</v>
      </c>
      <c r="P46" s="95">
        <f t="shared" ref="P46" si="48">SUM(P47:P48)</f>
        <v>28881660</v>
      </c>
      <c r="Q46" s="606">
        <f t="shared" si="43"/>
        <v>0</v>
      </c>
      <c r="R46" s="164"/>
      <c r="S46" s="495">
        <f>SUM(S47:S48)</f>
        <v>0</v>
      </c>
      <c r="T46" s="426">
        <f>SUM(T47:T48)</f>
        <v>35572714</v>
      </c>
      <c r="U46" s="426">
        <f>SUM(U47:U48)</f>
        <v>35572714</v>
      </c>
      <c r="V46" s="726">
        <f>SUM(V47:V48)</f>
        <v>0</v>
      </c>
      <c r="W46" s="419"/>
      <c r="X46" s="419"/>
      <c r="Y46" s="419"/>
      <c r="Z46" s="419"/>
      <c r="AA46" s="419"/>
      <c r="AB46" s="419"/>
      <c r="AC46" s="419"/>
      <c r="AD46" s="419"/>
      <c r="AE46" s="419"/>
      <c r="AF46" s="419"/>
      <c r="AG46" s="419"/>
      <c r="AH46" s="419"/>
      <c r="AI46" s="419"/>
      <c r="AJ46" s="419"/>
      <c r="AK46" s="419"/>
      <c r="AL46" s="419"/>
      <c r="AM46" s="419"/>
      <c r="AN46" s="419"/>
      <c r="AO46" s="419"/>
      <c r="AP46" s="419"/>
      <c r="AQ46" s="419"/>
      <c r="AR46" s="419"/>
      <c r="AS46" s="419"/>
      <c r="AT46" s="419"/>
      <c r="AU46" s="419"/>
      <c r="AV46" s="419"/>
      <c r="AW46" s="419"/>
      <c r="AX46" s="419"/>
      <c r="AY46" s="419"/>
      <c r="AZ46" s="419"/>
      <c r="BA46" s="419"/>
      <c r="BB46" s="419"/>
      <c r="BC46" s="419"/>
      <c r="BD46" s="419"/>
      <c r="BE46" s="419"/>
      <c r="BF46" s="419"/>
      <c r="BG46" s="419"/>
      <c r="BH46" s="419"/>
      <c r="BI46" s="419"/>
      <c r="BJ46" s="419"/>
      <c r="BK46" s="419"/>
      <c r="BL46" s="419"/>
      <c r="BM46" s="419"/>
      <c r="BN46" s="419"/>
      <c r="BO46" s="419"/>
      <c r="BP46" s="419"/>
      <c r="BQ46" s="419"/>
      <c r="BR46" s="419"/>
      <c r="BS46" s="419"/>
      <c r="BT46" s="419"/>
      <c r="BU46" s="419"/>
      <c r="BV46" s="419"/>
      <c r="BW46" s="419"/>
      <c r="BX46" s="419"/>
      <c r="BY46" s="419"/>
      <c r="BZ46" s="419"/>
      <c r="CA46" s="419"/>
      <c r="CB46" s="419"/>
      <c r="CC46" s="419"/>
      <c r="CD46" s="419"/>
      <c r="CE46" s="419"/>
      <c r="CF46" s="419"/>
      <c r="CG46" s="419"/>
      <c r="CH46" s="419"/>
      <c r="CI46" s="419"/>
      <c r="CJ46" s="419"/>
      <c r="CK46" s="419"/>
      <c r="CL46" s="419"/>
      <c r="CM46" s="419"/>
      <c r="CN46" s="419"/>
      <c r="CO46" s="419"/>
      <c r="CP46" s="419"/>
      <c r="CQ46" s="419"/>
      <c r="CR46" s="419"/>
      <c r="CS46" s="419"/>
      <c r="CT46" s="419"/>
      <c r="CU46" s="419"/>
      <c r="CV46" s="419"/>
      <c r="CW46" s="419"/>
      <c r="CX46" s="419"/>
      <c r="CY46" s="419"/>
      <c r="CZ46" s="419"/>
      <c r="DA46" s="419"/>
      <c r="DB46" s="419"/>
      <c r="DC46" s="419"/>
      <c r="DD46" s="419"/>
      <c r="DE46" s="419"/>
      <c r="DF46" s="419"/>
      <c r="DG46" s="419"/>
      <c r="DH46" s="419"/>
      <c r="DI46" s="419"/>
      <c r="DJ46" s="419"/>
      <c r="DK46" s="419"/>
      <c r="DL46" s="419"/>
      <c r="DM46" s="419"/>
      <c r="DN46" s="419"/>
      <c r="DO46" s="419"/>
      <c r="DP46" s="419"/>
      <c r="DQ46" s="419"/>
      <c r="DR46" s="419"/>
      <c r="DS46" s="419"/>
      <c r="DT46" s="419"/>
    </row>
    <row r="47" spans="1:124" s="26" customFormat="1" ht="24" customHeight="1" x14ac:dyDescent="0.2">
      <c r="A47" s="327" t="s">
        <v>365</v>
      </c>
      <c r="B47" s="421">
        <v>89479</v>
      </c>
      <c r="C47" s="130">
        <v>89479</v>
      </c>
      <c r="D47" s="130">
        <v>89479</v>
      </c>
      <c r="E47" s="231">
        <f>D47-C47</f>
        <v>0</v>
      </c>
      <c r="F47" s="560"/>
      <c r="G47" s="231">
        <v>9634640</v>
      </c>
      <c r="H47" s="231">
        <v>9634640</v>
      </c>
      <c r="I47" s="132">
        <f>H47-G47</f>
        <v>0</v>
      </c>
      <c r="J47" s="162">
        <v>178958</v>
      </c>
      <c r="K47" s="130">
        <v>4864290</v>
      </c>
      <c r="L47" s="130">
        <v>4864290</v>
      </c>
      <c r="M47" s="130">
        <f>L47-K47</f>
        <v>0</v>
      </c>
      <c r="N47" s="560">
        <f t="shared" ref="N47:P48" si="49">B47+F47+J47</f>
        <v>268437</v>
      </c>
      <c r="O47" s="130">
        <f t="shared" si="49"/>
        <v>14588409</v>
      </c>
      <c r="P47" s="130">
        <f t="shared" si="49"/>
        <v>14588409</v>
      </c>
      <c r="Q47" s="132">
        <f t="shared" ref="Q47:Q48" si="50">E47+I47+M47</f>
        <v>0</v>
      </c>
      <c r="R47" s="163"/>
      <c r="S47" s="147"/>
      <c r="T47" s="231">
        <v>27144823</v>
      </c>
      <c r="U47" s="231">
        <v>27144823</v>
      </c>
      <c r="V47" s="132">
        <f>U47-T47</f>
        <v>0</v>
      </c>
      <c r="W47" s="425"/>
      <c r="X47" s="425"/>
      <c r="Y47" s="425"/>
      <c r="Z47" s="425"/>
      <c r="AA47" s="425"/>
      <c r="AB47" s="425"/>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25"/>
      <c r="BC47" s="425"/>
      <c r="BD47" s="425"/>
      <c r="BE47" s="425"/>
      <c r="BF47" s="425"/>
      <c r="BG47" s="425"/>
      <c r="BH47" s="425"/>
      <c r="BI47" s="425"/>
      <c r="BJ47" s="425"/>
      <c r="BK47" s="425"/>
      <c r="BL47" s="425"/>
      <c r="BM47" s="425"/>
      <c r="BN47" s="425"/>
      <c r="BO47" s="425"/>
      <c r="BP47" s="425"/>
      <c r="BQ47" s="425"/>
      <c r="BR47" s="425"/>
      <c r="BS47" s="425"/>
      <c r="BT47" s="425"/>
      <c r="BU47" s="425"/>
      <c r="BV47" s="425"/>
      <c r="BW47" s="425"/>
      <c r="BX47" s="425"/>
      <c r="BY47" s="425"/>
      <c r="BZ47" s="425"/>
      <c r="CA47" s="425"/>
      <c r="CB47" s="425"/>
      <c r="CC47" s="425"/>
      <c r="CD47" s="425"/>
      <c r="CE47" s="425"/>
      <c r="CF47" s="425"/>
      <c r="CG47" s="425"/>
      <c r="CH47" s="425"/>
      <c r="CI47" s="425"/>
      <c r="CJ47" s="425"/>
      <c r="CK47" s="425"/>
      <c r="CL47" s="425"/>
      <c r="CM47" s="425"/>
      <c r="CN47" s="425"/>
      <c r="CO47" s="425"/>
      <c r="CP47" s="425"/>
      <c r="CQ47" s="425"/>
      <c r="CR47" s="425"/>
      <c r="CS47" s="425"/>
      <c r="CT47" s="425"/>
      <c r="CU47" s="425"/>
      <c r="CV47" s="425"/>
      <c r="CW47" s="425"/>
      <c r="CX47" s="425"/>
      <c r="CY47" s="425"/>
      <c r="CZ47" s="425"/>
      <c r="DA47" s="425"/>
      <c r="DB47" s="425"/>
      <c r="DC47" s="425"/>
      <c r="DD47" s="425"/>
      <c r="DE47" s="425"/>
      <c r="DF47" s="425"/>
      <c r="DG47" s="425"/>
      <c r="DH47" s="425"/>
      <c r="DI47" s="425"/>
      <c r="DJ47" s="425"/>
      <c r="DK47" s="425"/>
      <c r="DL47" s="425"/>
      <c r="DM47" s="425"/>
      <c r="DN47" s="425"/>
      <c r="DO47" s="425"/>
      <c r="DP47" s="425"/>
      <c r="DQ47" s="425"/>
      <c r="DR47" s="425"/>
      <c r="DS47" s="425"/>
      <c r="DT47" s="425"/>
    </row>
    <row r="48" spans="1:124" s="26" customFormat="1" ht="24.75" customHeight="1" x14ac:dyDescent="0.2">
      <c r="A48" s="327" t="s">
        <v>31</v>
      </c>
      <c r="B48" s="421">
        <v>10437000</v>
      </c>
      <c r="C48" s="130">
        <v>12842781</v>
      </c>
      <c r="D48" s="130">
        <v>12842781</v>
      </c>
      <c r="E48" s="231">
        <f>D48-C48</f>
        <v>0</v>
      </c>
      <c r="F48" s="560"/>
      <c r="G48" s="575">
        <v>1450470</v>
      </c>
      <c r="H48" s="575">
        <v>1450470</v>
      </c>
      <c r="I48" s="132">
        <f>H48-G48</f>
        <v>0</v>
      </c>
      <c r="J48" s="162"/>
      <c r="K48" s="576"/>
      <c r="L48" s="576"/>
      <c r="M48" s="130">
        <f>L48-K48</f>
        <v>0</v>
      </c>
      <c r="N48" s="560">
        <f t="shared" si="49"/>
        <v>10437000</v>
      </c>
      <c r="O48" s="130">
        <f t="shared" si="49"/>
        <v>14293251</v>
      </c>
      <c r="P48" s="130">
        <f t="shared" si="49"/>
        <v>14293251</v>
      </c>
      <c r="Q48" s="132">
        <f t="shared" si="50"/>
        <v>0</v>
      </c>
      <c r="R48" s="163"/>
      <c r="S48" s="147"/>
      <c r="T48" s="231">
        <v>8427891</v>
      </c>
      <c r="U48" s="231">
        <v>8427891</v>
      </c>
      <c r="V48" s="132">
        <f>U48-T48</f>
        <v>0</v>
      </c>
      <c r="W48" s="425"/>
      <c r="X48" s="425"/>
      <c r="Y48" s="425"/>
      <c r="Z48" s="425"/>
      <c r="AA48" s="425"/>
      <c r="AB48" s="425"/>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c r="AZ48" s="425"/>
      <c r="BA48" s="425"/>
      <c r="BB48" s="425"/>
      <c r="BC48" s="425"/>
      <c r="BD48" s="425"/>
      <c r="BE48" s="425"/>
      <c r="BF48" s="425"/>
      <c r="BG48" s="425"/>
      <c r="BH48" s="425"/>
      <c r="BI48" s="425"/>
      <c r="BJ48" s="425"/>
      <c r="BK48" s="425"/>
      <c r="BL48" s="425"/>
      <c r="BM48" s="425"/>
      <c r="BN48" s="425"/>
      <c r="BO48" s="425"/>
      <c r="BP48" s="425"/>
      <c r="BQ48" s="425"/>
      <c r="BR48" s="425"/>
      <c r="BS48" s="425"/>
      <c r="BT48" s="425"/>
      <c r="BU48" s="425"/>
      <c r="BV48" s="425"/>
      <c r="BW48" s="425"/>
      <c r="BX48" s="425"/>
      <c r="BY48" s="425"/>
      <c r="BZ48" s="425"/>
      <c r="CA48" s="425"/>
      <c r="CB48" s="425"/>
      <c r="CC48" s="425"/>
      <c r="CD48" s="425"/>
      <c r="CE48" s="425"/>
      <c r="CF48" s="425"/>
      <c r="CG48" s="425"/>
      <c r="CH48" s="425"/>
      <c r="CI48" s="425"/>
      <c r="CJ48" s="425"/>
      <c r="CK48" s="425"/>
      <c r="CL48" s="425"/>
      <c r="CM48" s="425"/>
      <c r="CN48" s="425"/>
      <c r="CO48" s="425"/>
      <c r="CP48" s="425"/>
      <c r="CQ48" s="425"/>
      <c r="CR48" s="425"/>
      <c r="CS48" s="425"/>
      <c r="CT48" s="425"/>
      <c r="CU48" s="425"/>
      <c r="CV48" s="425"/>
      <c r="CW48" s="425"/>
      <c r="CX48" s="425"/>
      <c r="CY48" s="425"/>
      <c r="CZ48" s="425"/>
      <c r="DA48" s="425"/>
      <c r="DB48" s="425"/>
      <c r="DC48" s="425"/>
      <c r="DD48" s="425"/>
      <c r="DE48" s="425"/>
      <c r="DF48" s="425"/>
      <c r="DG48" s="425"/>
      <c r="DH48" s="425"/>
      <c r="DI48" s="425"/>
      <c r="DJ48" s="425"/>
      <c r="DK48" s="425"/>
      <c r="DL48" s="425"/>
      <c r="DM48" s="425"/>
      <c r="DN48" s="425"/>
      <c r="DO48" s="425"/>
      <c r="DP48" s="425"/>
      <c r="DQ48" s="425"/>
      <c r="DR48" s="425"/>
      <c r="DS48" s="425"/>
      <c r="DT48" s="425"/>
    </row>
    <row r="49" spans="1:198" s="24" customFormat="1" ht="24" customHeight="1" x14ac:dyDescent="0.25">
      <c r="A49" s="328" t="s">
        <v>32</v>
      </c>
      <c r="B49" s="422"/>
      <c r="C49" s="95"/>
      <c r="D49" s="95"/>
      <c r="E49" s="134"/>
      <c r="F49" s="561"/>
      <c r="G49" s="134"/>
      <c r="H49" s="134"/>
      <c r="I49" s="606"/>
      <c r="J49" s="156"/>
      <c r="K49" s="95"/>
      <c r="L49" s="95"/>
      <c r="M49" s="95"/>
      <c r="N49" s="146">
        <f>B49+F49+J49</f>
        <v>0</v>
      </c>
      <c r="O49" s="134"/>
      <c r="P49" s="134"/>
      <c r="Q49" s="606"/>
      <c r="R49" s="164"/>
      <c r="S49" s="146"/>
      <c r="T49" s="134"/>
      <c r="U49" s="134"/>
      <c r="V49" s="606"/>
      <c r="W49" s="419"/>
      <c r="X49" s="419"/>
      <c r="Y49" s="419"/>
      <c r="Z49" s="419"/>
      <c r="AA49" s="419"/>
      <c r="AB49" s="419"/>
      <c r="AC49" s="419"/>
      <c r="AD49" s="419"/>
      <c r="AE49" s="419"/>
      <c r="AF49" s="419"/>
      <c r="AG49" s="419"/>
      <c r="AH49" s="419"/>
      <c r="AI49" s="419"/>
      <c r="AJ49" s="419"/>
      <c r="AK49" s="419"/>
      <c r="AL49" s="419"/>
      <c r="AM49" s="419"/>
      <c r="AN49" s="419"/>
      <c r="AO49" s="419"/>
      <c r="AP49" s="419"/>
      <c r="AQ49" s="419"/>
      <c r="AR49" s="419"/>
      <c r="AS49" s="419"/>
      <c r="AT49" s="419"/>
      <c r="AU49" s="419"/>
      <c r="AV49" s="419"/>
      <c r="AW49" s="419"/>
      <c r="AX49" s="419"/>
      <c r="AY49" s="419"/>
      <c r="AZ49" s="419"/>
      <c r="BA49" s="419"/>
      <c r="BB49" s="419"/>
      <c r="BC49" s="419"/>
      <c r="BD49" s="419"/>
      <c r="BE49" s="419"/>
      <c r="BF49" s="419"/>
      <c r="BG49" s="419"/>
      <c r="BH49" s="419"/>
      <c r="BI49" s="419"/>
      <c r="BJ49" s="419"/>
      <c r="BK49" s="419"/>
      <c r="BL49" s="419"/>
      <c r="BM49" s="419"/>
      <c r="BN49" s="419"/>
      <c r="BO49" s="419"/>
      <c r="BP49" s="419"/>
      <c r="BQ49" s="419"/>
      <c r="BR49" s="419"/>
      <c r="BS49" s="419"/>
      <c r="BT49" s="419"/>
      <c r="BU49" s="419"/>
      <c r="BV49" s="419"/>
      <c r="BW49" s="419"/>
      <c r="BX49" s="419"/>
      <c r="BY49" s="419"/>
      <c r="BZ49" s="419"/>
      <c r="CA49" s="419"/>
      <c r="CB49" s="419"/>
      <c r="CC49" s="419"/>
      <c r="CD49" s="419"/>
      <c r="CE49" s="419"/>
      <c r="CF49" s="419"/>
      <c r="CG49" s="419"/>
      <c r="CH49" s="419"/>
      <c r="CI49" s="419"/>
      <c r="CJ49" s="419"/>
      <c r="CK49" s="419"/>
      <c r="CL49" s="419"/>
      <c r="CM49" s="419"/>
      <c r="CN49" s="419"/>
      <c r="CO49" s="419"/>
      <c r="CP49" s="419"/>
      <c r="CQ49" s="419"/>
      <c r="CR49" s="419"/>
      <c r="CS49" s="419"/>
      <c r="CT49" s="419"/>
      <c r="CU49" s="419"/>
      <c r="CV49" s="419"/>
      <c r="CW49" s="419"/>
      <c r="CX49" s="419"/>
      <c r="CY49" s="419"/>
      <c r="CZ49" s="419"/>
      <c r="DA49" s="419"/>
      <c r="DB49" s="419"/>
      <c r="DC49" s="419"/>
      <c r="DD49" s="419"/>
      <c r="DE49" s="419"/>
      <c r="DF49" s="419"/>
      <c r="DG49" s="419"/>
      <c r="DH49" s="419"/>
      <c r="DI49" s="419"/>
      <c r="DJ49" s="419"/>
      <c r="DK49" s="419"/>
      <c r="DL49" s="419"/>
      <c r="DM49" s="419"/>
      <c r="DN49" s="419"/>
      <c r="DO49" s="419"/>
      <c r="DP49" s="419"/>
      <c r="DQ49" s="419"/>
      <c r="DR49" s="419"/>
      <c r="DS49" s="419"/>
      <c r="DT49" s="419"/>
    </row>
    <row r="50" spans="1:198" s="20" customFormat="1" ht="15" x14ac:dyDescent="0.25">
      <c r="A50" s="329" t="s">
        <v>47</v>
      </c>
      <c r="B50" s="422">
        <f>'4.sz.tábla '!AS6-'2.a tábla ÚJ '!B44-'2.a tábla ÚJ '!B46</f>
        <v>57140268</v>
      </c>
      <c r="C50" s="422">
        <f>'4.sz.tábla '!AT6-'2.a tábla ÚJ '!C44-'2.a tábla ÚJ '!C46</f>
        <v>46351752</v>
      </c>
      <c r="D50" s="422">
        <f>'4.sz.tábla '!AU6-'2.a tábla ÚJ '!D44-'2.a tábla ÚJ '!D46</f>
        <v>47694140</v>
      </c>
      <c r="E50" s="134">
        <f>D50-C50</f>
        <v>1342388</v>
      </c>
      <c r="F50" s="561">
        <f>'4.sz.tábla '!AS7-'2.a tábla ÚJ '!F44-'2.a tábla ÚJ '!F46</f>
        <v>79366730</v>
      </c>
      <c r="G50" s="606">
        <f>'4.sz.tábla '!AT7-'2.a tábla ÚJ '!G44-'2.a tábla ÚJ '!G46</f>
        <v>71844324</v>
      </c>
      <c r="H50" s="606">
        <f>'4.sz.tábla '!AU7-'2.a tábla ÚJ '!H44-'2.a tábla ÚJ '!H46</f>
        <v>71490312</v>
      </c>
      <c r="I50" s="606">
        <f>H50-G50</f>
        <v>-354012</v>
      </c>
      <c r="J50" s="156">
        <f>'4.sz.tábla '!AS8-'2.a tábla ÚJ '!J44-'2.a tábla ÚJ '!J46</f>
        <v>68968706</v>
      </c>
      <c r="K50" s="95">
        <f>'4.sz.tábla '!AT8-'2.a tábla ÚJ '!K44-'2.a tábla ÚJ '!K46</f>
        <v>64723703</v>
      </c>
      <c r="L50" s="95">
        <f>'4.sz.tábla '!AU8-'2.a tábla ÚJ '!L44-'2.a tábla ÚJ '!L46</f>
        <v>64808614</v>
      </c>
      <c r="M50" s="95">
        <f>L50-K50</f>
        <v>84911</v>
      </c>
      <c r="N50" s="146">
        <f>B50+F50+J50</f>
        <v>205475704</v>
      </c>
      <c r="O50" s="95">
        <f>C50+G50+K50</f>
        <v>182919779</v>
      </c>
      <c r="P50" s="95">
        <f>D50+H50+L50</f>
        <v>183993066</v>
      </c>
      <c r="Q50" s="606">
        <f>E50+I50+M50</f>
        <v>1073287</v>
      </c>
      <c r="R50" s="156" t="e">
        <f>SUM(#REF!)</f>
        <v>#REF!</v>
      </c>
      <c r="S50" s="95">
        <f>'5.tábla (2)'!B42-'2.a tábla ÚJ '!S44-'2.a tábla ÚJ '!S46</f>
        <v>418371475</v>
      </c>
      <c r="T50" s="95">
        <f>'5.tábla (2)'!C42-'2.a tábla ÚJ '!T44-'2.a tábla ÚJ '!T46</f>
        <v>403463445</v>
      </c>
      <c r="U50" s="95">
        <f>'5.tábla (2)'!D42-'2.a tábla ÚJ '!U44-'2.a tábla ÚJ '!U46</f>
        <v>397727963</v>
      </c>
      <c r="V50" s="606">
        <f>'5.tábla (2)'!E42-'2.a tábla ÚJ '!V44-'2.a tábla ÚJ '!V46</f>
        <v>-5735482</v>
      </c>
      <c r="W50" s="427"/>
      <c r="X50" s="427"/>
      <c r="Y50" s="420"/>
      <c r="Z50" s="420"/>
      <c r="AA50" s="420"/>
      <c r="AB50" s="420"/>
      <c r="AC50" s="420"/>
      <c r="AD50" s="420"/>
      <c r="AE50" s="420"/>
      <c r="AF50" s="420"/>
      <c r="AG50" s="420"/>
      <c r="AH50" s="420"/>
      <c r="AI50" s="420"/>
      <c r="AJ50" s="420"/>
      <c r="AK50" s="420"/>
      <c r="AL50" s="420"/>
      <c r="AM50" s="420"/>
      <c r="AN50" s="420"/>
      <c r="AO50" s="420"/>
      <c r="AP50" s="420"/>
      <c r="AQ50" s="420"/>
      <c r="AR50" s="420"/>
      <c r="AS50" s="420"/>
      <c r="AT50" s="420"/>
      <c r="AU50" s="420"/>
      <c r="AV50" s="420"/>
      <c r="AW50" s="420"/>
      <c r="AX50" s="420"/>
      <c r="AY50" s="420"/>
      <c r="AZ50" s="420"/>
      <c r="BA50" s="420"/>
      <c r="BB50" s="420"/>
      <c r="BC50" s="420"/>
      <c r="BD50" s="420"/>
      <c r="BE50" s="420"/>
      <c r="BF50" s="420"/>
      <c r="BG50" s="420"/>
      <c r="BH50" s="420"/>
      <c r="BI50" s="420"/>
      <c r="BJ50" s="420"/>
      <c r="BK50" s="420"/>
      <c r="BL50" s="420"/>
      <c r="BM50" s="420"/>
      <c r="BN50" s="420"/>
      <c r="BO50" s="420"/>
      <c r="BP50" s="420"/>
      <c r="BQ50" s="420"/>
      <c r="BR50" s="420"/>
      <c r="BS50" s="420"/>
      <c r="BT50" s="420"/>
      <c r="BU50" s="420"/>
      <c r="BV50" s="420"/>
      <c r="BW50" s="420"/>
      <c r="BX50" s="420"/>
      <c r="BY50" s="420"/>
      <c r="BZ50" s="420"/>
      <c r="CA50" s="420"/>
      <c r="CB50" s="420"/>
      <c r="CC50" s="420"/>
      <c r="CD50" s="420"/>
      <c r="CE50" s="420"/>
      <c r="CF50" s="420"/>
      <c r="CG50" s="420"/>
      <c r="CH50" s="420"/>
      <c r="CI50" s="420"/>
      <c r="CJ50" s="420"/>
      <c r="CK50" s="420"/>
      <c r="CL50" s="420"/>
      <c r="CM50" s="420"/>
      <c r="CN50" s="420"/>
      <c r="CO50" s="420"/>
      <c r="CP50" s="420"/>
      <c r="CQ50" s="420"/>
      <c r="CR50" s="420"/>
      <c r="CS50" s="420"/>
      <c r="CT50" s="420"/>
      <c r="CU50" s="420"/>
      <c r="CV50" s="420"/>
      <c r="CW50" s="420"/>
      <c r="CX50" s="420"/>
      <c r="CY50" s="420"/>
      <c r="CZ50" s="420"/>
      <c r="DA50" s="420"/>
      <c r="DB50" s="420"/>
      <c r="DC50" s="420"/>
      <c r="DD50" s="420"/>
      <c r="DE50" s="420"/>
      <c r="DF50" s="420"/>
      <c r="DG50" s="420"/>
      <c r="DH50" s="420"/>
      <c r="DI50" s="420"/>
      <c r="DJ50" s="420"/>
      <c r="DK50" s="420"/>
      <c r="DL50" s="420"/>
      <c r="DM50" s="420"/>
      <c r="DN50" s="420"/>
      <c r="DO50" s="420"/>
      <c r="DP50" s="420"/>
      <c r="DQ50" s="420"/>
      <c r="DR50" s="420"/>
      <c r="DS50" s="420"/>
      <c r="DT50" s="420"/>
    </row>
    <row r="51" spans="1:198" s="24" customFormat="1" ht="15" customHeight="1" x14ac:dyDescent="0.25">
      <c r="A51" s="329" t="s">
        <v>42</v>
      </c>
      <c r="B51" s="95">
        <f t="shared" ref="B51:D51" si="51">B45+B44</f>
        <v>74968235</v>
      </c>
      <c r="C51" s="95">
        <f t="shared" ref="C51" si="52">C45+C44</f>
        <v>76045500</v>
      </c>
      <c r="D51" s="95">
        <f t="shared" si="51"/>
        <v>77387888</v>
      </c>
      <c r="E51" s="134">
        <f t="shared" ref="E51:R51" si="53">E45+E44</f>
        <v>1342388</v>
      </c>
      <c r="F51" s="561">
        <f t="shared" ref="F51:H51" si="54">F45+F44</f>
        <v>261300000</v>
      </c>
      <c r="G51" s="134">
        <f t="shared" ref="G51" si="55">G45+G44</f>
        <v>283542653</v>
      </c>
      <c r="H51" s="134">
        <f t="shared" si="54"/>
        <v>284288641</v>
      </c>
      <c r="I51" s="606">
        <f>H51-G51</f>
        <v>745988</v>
      </c>
      <c r="J51" s="156">
        <f t="shared" ref="J51" si="56">J45+J44</f>
        <v>73581232</v>
      </c>
      <c r="K51" s="95">
        <f t="shared" ref="K51" si="57">K45+K44</f>
        <v>73751561</v>
      </c>
      <c r="L51" s="95">
        <f>L45+L44</f>
        <v>73836472</v>
      </c>
      <c r="M51" s="95">
        <f>L51-K51</f>
        <v>84911</v>
      </c>
      <c r="N51" s="146">
        <f t="shared" si="53"/>
        <v>409849467</v>
      </c>
      <c r="O51" s="95">
        <f>O45+O44</f>
        <v>433339714</v>
      </c>
      <c r="P51" s="95">
        <f>P45+P44</f>
        <v>435513001</v>
      </c>
      <c r="Q51" s="606">
        <f t="shared" si="53"/>
        <v>2173287</v>
      </c>
      <c r="R51" s="156" t="e">
        <f t="shared" si="53"/>
        <v>#REF!</v>
      </c>
      <c r="S51" s="146">
        <f t="shared" ref="S51:V51" si="58">S45+S44</f>
        <v>482604034</v>
      </c>
      <c r="T51" s="95">
        <f>T45+T44</f>
        <v>497076544</v>
      </c>
      <c r="U51" s="95">
        <f t="shared" ref="U51" si="59">U45+U44</f>
        <v>491467062</v>
      </c>
      <c r="V51" s="606">
        <f t="shared" si="58"/>
        <v>-5609482</v>
      </c>
      <c r="W51" s="423"/>
      <c r="X51" s="423"/>
      <c r="Y51" s="423"/>
      <c r="Z51" s="419"/>
      <c r="AA51" s="419"/>
      <c r="AB51" s="419"/>
      <c r="AC51" s="419"/>
      <c r="AD51" s="419"/>
      <c r="AE51" s="419"/>
      <c r="AF51" s="419"/>
      <c r="AG51" s="419"/>
      <c r="AH51" s="419"/>
      <c r="AI51" s="419"/>
      <c r="AJ51" s="419"/>
      <c r="AK51" s="419"/>
      <c r="AL51" s="419"/>
      <c r="AM51" s="419"/>
      <c r="AN51" s="419"/>
      <c r="AO51" s="419"/>
      <c r="AP51" s="419"/>
      <c r="AQ51" s="419"/>
      <c r="AR51" s="419"/>
      <c r="AS51" s="419"/>
      <c r="AT51" s="419"/>
      <c r="AU51" s="419"/>
      <c r="AV51" s="419"/>
      <c r="AW51" s="419"/>
      <c r="AX51" s="419"/>
      <c r="AY51" s="419"/>
      <c r="AZ51" s="419"/>
      <c r="BA51" s="419"/>
      <c r="BB51" s="419"/>
      <c r="BC51" s="419"/>
      <c r="BD51" s="419"/>
      <c r="BE51" s="419"/>
      <c r="BF51" s="419"/>
      <c r="BG51" s="419"/>
      <c r="BH51" s="419"/>
      <c r="BI51" s="419"/>
      <c r="BJ51" s="419"/>
      <c r="BK51" s="419"/>
      <c r="BL51" s="419"/>
      <c r="BM51" s="419"/>
      <c r="BN51" s="419"/>
      <c r="BO51" s="419"/>
      <c r="BP51" s="419"/>
      <c r="BQ51" s="419"/>
      <c r="BR51" s="419"/>
      <c r="BS51" s="419"/>
      <c r="BT51" s="419"/>
      <c r="BU51" s="419"/>
      <c r="BV51" s="419"/>
      <c r="BW51" s="419"/>
      <c r="BX51" s="419"/>
      <c r="BY51" s="419"/>
      <c r="BZ51" s="419"/>
      <c r="CA51" s="419"/>
      <c r="CB51" s="419"/>
      <c r="CC51" s="419"/>
      <c r="CD51" s="419"/>
      <c r="CE51" s="419"/>
      <c r="CF51" s="419"/>
      <c r="CG51" s="419"/>
      <c r="CH51" s="419"/>
      <c r="CI51" s="419"/>
      <c r="CJ51" s="419"/>
      <c r="CK51" s="419"/>
      <c r="CL51" s="419"/>
      <c r="CM51" s="419"/>
      <c r="CN51" s="419"/>
      <c r="CO51" s="419"/>
      <c r="CP51" s="419"/>
      <c r="CQ51" s="419"/>
      <c r="CR51" s="419"/>
      <c r="CS51" s="419"/>
      <c r="CT51" s="419"/>
      <c r="CU51" s="419"/>
      <c r="CV51" s="419"/>
      <c r="CW51" s="419"/>
      <c r="CX51" s="419"/>
      <c r="CY51" s="419"/>
      <c r="CZ51" s="419"/>
      <c r="DA51" s="419"/>
      <c r="DB51" s="419"/>
      <c r="DC51" s="419"/>
      <c r="DD51" s="419"/>
      <c r="DE51" s="419"/>
      <c r="DF51" s="419"/>
      <c r="DG51" s="419"/>
      <c r="DH51" s="419"/>
      <c r="DI51" s="419"/>
      <c r="DJ51" s="419"/>
      <c r="DK51" s="419"/>
      <c r="DL51" s="419"/>
      <c r="DM51" s="419"/>
      <c r="DN51" s="419"/>
      <c r="DO51" s="419"/>
      <c r="DP51" s="419"/>
      <c r="DQ51" s="419"/>
      <c r="DR51" s="419"/>
      <c r="DS51" s="419"/>
      <c r="DT51" s="419"/>
    </row>
    <row r="52" spans="1:198" s="1" customFormat="1" ht="15" x14ac:dyDescent="0.25">
      <c r="A52" s="335" t="s">
        <v>48</v>
      </c>
      <c r="B52" s="422"/>
      <c r="C52" s="95"/>
      <c r="D52" s="95"/>
      <c r="E52" s="134"/>
      <c r="F52" s="561"/>
      <c r="G52" s="568"/>
      <c r="H52" s="568"/>
      <c r="I52" s="607"/>
      <c r="J52" s="156"/>
      <c r="K52" s="636"/>
      <c r="L52" s="636"/>
      <c r="M52" s="636"/>
      <c r="N52" s="146"/>
      <c r="O52" s="568"/>
      <c r="P52" s="568"/>
      <c r="Q52" s="607"/>
      <c r="R52" s="165"/>
      <c r="S52" s="146"/>
      <c r="T52" s="134"/>
      <c r="U52" s="134"/>
      <c r="V52" s="606"/>
      <c r="W52" s="428"/>
      <c r="X52" s="428"/>
      <c r="Y52" s="428"/>
      <c r="Z52" s="428"/>
      <c r="AA52" s="428"/>
      <c r="AB52" s="428"/>
      <c r="AC52" s="428"/>
      <c r="AD52" s="428"/>
      <c r="AE52" s="428"/>
      <c r="AF52" s="428"/>
      <c r="AG52" s="428"/>
      <c r="AH52" s="428"/>
      <c r="AI52" s="428"/>
      <c r="AJ52" s="428"/>
      <c r="AK52" s="428"/>
      <c r="AL52" s="428"/>
      <c r="AM52" s="428"/>
      <c r="AN52" s="428"/>
      <c r="AO52" s="428"/>
      <c r="AP52" s="428"/>
      <c r="AQ52" s="428"/>
      <c r="AR52" s="428"/>
      <c r="AS52" s="428"/>
      <c r="AT52" s="428"/>
      <c r="AU52" s="428"/>
      <c r="AV52" s="428"/>
      <c r="AW52" s="428"/>
      <c r="AX52" s="428"/>
      <c r="AY52" s="428"/>
      <c r="AZ52" s="428"/>
      <c r="BA52" s="428"/>
      <c r="BB52" s="428"/>
      <c r="BC52" s="428"/>
      <c r="BD52" s="428"/>
      <c r="BE52" s="428"/>
      <c r="BF52" s="428"/>
      <c r="BG52" s="428"/>
      <c r="BH52" s="428"/>
      <c r="BI52" s="428"/>
      <c r="BJ52" s="428"/>
      <c r="BK52" s="428"/>
      <c r="BL52" s="428"/>
      <c r="BM52" s="428"/>
      <c r="BN52" s="428"/>
      <c r="BO52" s="428"/>
      <c r="BP52" s="428"/>
      <c r="BQ52" s="428"/>
      <c r="BR52" s="428"/>
      <c r="BS52" s="428"/>
      <c r="BT52" s="428"/>
      <c r="BU52" s="428"/>
      <c r="BV52" s="428"/>
      <c r="BW52" s="428"/>
      <c r="BX52" s="428"/>
      <c r="BY52" s="428"/>
      <c r="BZ52" s="428"/>
      <c r="CA52" s="428"/>
      <c r="CB52" s="428"/>
      <c r="CC52" s="428"/>
      <c r="CD52" s="428"/>
      <c r="CE52" s="428"/>
      <c r="CF52" s="428"/>
      <c r="CG52" s="428"/>
      <c r="CH52" s="428"/>
      <c r="CI52" s="428"/>
      <c r="CJ52" s="428"/>
      <c r="CK52" s="428"/>
      <c r="CL52" s="428"/>
      <c r="CM52" s="428"/>
      <c r="CN52" s="428"/>
      <c r="CO52" s="428"/>
      <c r="CP52" s="428"/>
      <c r="CQ52" s="428"/>
      <c r="CR52" s="428"/>
      <c r="CS52" s="428"/>
      <c r="CT52" s="428"/>
      <c r="CU52" s="428"/>
      <c r="CV52" s="428"/>
      <c r="CW52" s="428"/>
      <c r="CX52" s="428"/>
      <c r="CY52" s="428"/>
      <c r="CZ52" s="428"/>
      <c r="DA52" s="428"/>
      <c r="DB52" s="428"/>
      <c r="DC52" s="428"/>
      <c r="DD52" s="428"/>
      <c r="DE52" s="428"/>
      <c r="DF52" s="428"/>
      <c r="DG52" s="428"/>
      <c r="DH52" s="428"/>
      <c r="DI52" s="428"/>
      <c r="DJ52" s="428"/>
      <c r="DK52" s="428"/>
      <c r="DL52" s="428"/>
      <c r="DM52" s="428"/>
      <c r="DN52" s="428"/>
      <c r="DO52" s="428"/>
      <c r="DP52" s="428"/>
      <c r="DQ52" s="428"/>
      <c r="DR52" s="428"/>
      <c r="DS52" s="428"/>
      <c r="DT52" s="428"/>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row>
    <row r="53" spans="1:198" x14ac:dyDescent="0.2">
      <c r="A53" s="336" t="s">
        <v>49</v>
      </c>
      <c r="B53" s="250">
        <v>1.5</v>
      </c>
      <c r="C53" s="131">
        <v>1.5</v>
      </c>
      <c r="D53" s="131">
        <v>1.5</v>
      </c>
      <c r="E53" s="232">
        <f>D53-C53</f>
        <v>0</v>
      </c>
      <c r="F53" s="293">
        <v>12</v>
      </c>
      <c r="G53" s="1386">
        <v>12</v>
      </c>
      <c r="H53" s="1386">
        <v>12</v>
      </c>
      <c r="I53" s="569">
        <f>H53-G53</f>
        <v>0</v>
      </c>
      <c r="J53" s="157">
        <v>5</v>
      </c>
      <c r="K53" s="637">
        <v>5</v>
      </c>
      <c r="L53" s="637">
        <v>5</v>
      </c>
      <c r="M53" s="637">
        <f>L53-K53</f>
        <v>0</v>
      </c>
      <c r="N53" s="148">
        <f>B53+F53+J53</f>
        <v>18.5</v>
      </c>
      <c r="O53" s="131">
        <f>C53+G53+K53</f>
        <v>18.5</v>
      </c>
      <c r="P53" s="131">
        <f>D53+H53+L53</f>
        <v>18.5</v>
      </c>
      <c r="Q53" s="356">
        <f t="shared" ref="Q53:Q56" si="60">E53+I53+M53</f>
        <v>0</v>
      </c>
      <c r="R53" s="157" t="e">
        <f>#REF!+#REF!+#REF!+#REF!+#REF!+#REF!+#REF!+#REF!+#REF!+#REF!</f>
        <v>#REF!</v>
      </c>
      <c r="S53" s="293">
        <v>7</v>
      </c>
      <c r="T53" s="131">
        <v>7</v>
      </c>
      <c r="U53" s="131">
        <v>7</v>
      </c>
      <c r="V53" s="356">
        <f>U53-T53</f>
        <v>0</v>
      </c>
      <c r="W53" s="429"/>
    </row>
    <row r="54" spans="1:198" x14ac:dyDescent="0.2">
      <c r="A54" s="336" t="s">
        <v>50</v>
      </c>
      <c r="B54" s="250">
        <v>9.5</v>
      </c>
      <c r="C54" s="131">
        <v>9.5</v>
      </c>
      <c r="D54" s="131">
        <v>9.5</v>
      </c>
      <c r="E54" s="232">
        <f t="shared" ref="E54:E57" si="61">D54-C54</f>
        <v>0</v>
      </c>
      <c r="F54" s="293">
        <v>18</v>
      </c>
      <c r="G54" s="1386">
        <v>18</v>
      </c>
      <c r="H54" s="1386">
        <v>18</v>
      </c>
      <c r="I54" s="569">
        <f t="shared" ref="I54:I57" si="62">H54-G54</f>
        <v>0</v>
      </c>
      <c r="J54" s="157">
        <v>9</v>
      </c>
      <c r="K54" s="637">
        <v>9</v>
      </c>
      <c r="L54" s="637">
        <v>9</v>
      </c>
      <c r="M54" s="637">
        <f t="shared" ref="M54:M57" si="63">L54-K54</f>
        <v>0</v>
      </c>
      <c r="N54" s="148">
        <f>B54+F54+J54</f>
        <v>36.5</v>
      </c>
      <c r="O54" s="131">
        <f t="shared" ref="O54:P57" si="64">C54+G54+K54</f>
        <v>36.5</v>
      </c>
      <c r="P54" s="131">
        <f t="shared" si="64"/>
        <v>36.5</v>
      </c>
      <c r="Q54" s="356">
        <f t="shared" si="60"/>
        <v>0</v>
      </c>
      <c r="R54" s="157" t="e">
        <f>#REF!+#REF!+#REF!+#REF!+#REF!+#REF!+#REF!+#REF!+#REF!+#REF!</f>
        <v>#REF!</v>
      </c>
      <c r="S54" s="293">
        <v>66</v>
      </c>
      <c r="T54" s="131">
        <f>66-1</f>
        <v>65</v>
      </c>
      <c r="U54" s="131">
        <v>61</v>
      </c>
      <c r="V54" s="356">
        <f t="shared" ref="V54:V60" si="65">U54-T54</f>
        <v>-4</v>
      </c>
      <c r="W54" s="429"/>
    </row>
    <row r="55" spans="1:198" s="66" customFormat="1" ht="25.5" x14ac:dyDescent="0.2">
      <c r="A55" s="1190" t="s">
        <v>943</v>
      </c>
      <c r="B55" s="250"/>
      <c r="C55" s="130"/>
      <c r="D55" s="130"/>
      <c r="E55" s="232"/>
      <c r="F55" s="293">
        <v>0</v>
      </c>
      <c r="G55" s="1386">
        <v>0</v>
      </c>
      <c r="H55" s="1386">
        <v>0</v>
      </c>
      <c r="I55" s="569"/>
      <c r="J55" s="157"/>
      <c r="K55" s="637"/>
      <c r="L55" s="637"/>
      <c r="M55" s="637"/>
      <c r="N55" s="148">
        <f>B55+F55+J55</f>
        <v>0</v>
      </c>
      <c r="O55" s="131">
        <f t="shared" si="64"/>
        <v>0</v>
      </c>
      <c r="P55" s="131">
        <f t="shared" si="64"/>
        <v>0</v>
      </c>
      <c r="Q55" s="356">
        <f t="shared" si="60"/>
        <v>0</v>
      </c>
      <c r="R55" s="157" t="e">
        <f>#REF!+#REF!+#REF!+#REF!+#REF!+#REF!+#REF!+#REF!+#REF!+#REF!</f>
        <v>#REF!</v>
      </c>
      <c r="S55" s="293">
        <v>0.5</v>
      </c>
      <c r="T55" s="131">
        <v>0.5</v>
      </c>
      <c r="U55" s="131">
        <v>0.5</v>
      </c>
      <c r="V55" s="356">
        <f t="shared" si="65"/>
        <v>0</v>
      </c>
      <c r="W55" s="1191"/>
      <c r="X55" s="1192"/>
      <c r="Y55" s="1192"/>
      <c r="Z55" s="1192"/>
      <c r="AA55" s="1192"/>
      <c r="AB55" s="1192"/>
      <c r="AC55" s="1192"/>
      <c r="AD55" s="1192"/>
      <c r="AE55" s="1192"/>
      <c r="AF55" s="1192"/>
      <c r="AG55" s="1192"/>
      <c r="AH55" s="1192"/>
      <c r="AI55" s="1192"/>
      <c r="AJ55" s="1192"/>
      <c r="AK55" s="1192"/>
      <c r="AL55" s="1192"/>
      <c r="AM55" s="1192"/>
      <c r="AN55" s="1192"/>
      <c r="AO55" s="1192"/>
      <c r="AP55" s="1192"/>
      <c r="AQ55" s="1192"/>
      <c r="AR55" s="1192"/>
      <c r="AS55" s="1192"/>
      <c r="AT55" s="1192"/>
      <c r="AU55" s="1192"/>
      <c r="AV55" s="1192"/>
      <c r="AW55" s="1192"/>
      <c r="AX55" s="1192"/>
      <c r="AY55" s="1192"/>
      <c r="AZ55" s="1192"/>
      <c r="BA55" s="1192"/>
      <c r="BB55" s="1192"/>
      <c r="BC55" s="1192"/>
      <c r="BD55" s="1192"/>
      <c r="BE55" s="1192"/>
      <c r="BF55" s="1192"/>
      <c r="BG55" s="1192"/>
      <c r="BH55" s="1192"/>
      <c r="BI55" s="1192"/>
      <c r="BJ55" s="1192"/>
      <c r="BK55" s="1192"/>
      <c r="BL55" s="1192"/>
      <c r="BM55" s="1192"/>
      <c r="BN55" s="1192"/>
      <c r="BO55" s="1192"/>
      <c r="BP55" s="1192"/>
      <c r="BQ55" s="1192"/>
      <c r="BR55" s="1192"/>
      <c r="BS55" s="1192"/>
      <c r="BT55" s="1192"/>
      <c r="BU55" s="1192"/>
      <c r="BV55" s="1192"/>
      <c r="BW55" s="1192"/>
      <c r="BX55" s="1192"/>
      <c r="BY55" s="1192"/>
      <c r="BZ55" s="1192"/>
      <c r="CA55" s="1192"/>
      <c r="CB55" s="1192"/>
      <c r="CC55" s="1192"/>
      <c r="CD55" s="1192"/>
      <c r="CE55" s="1192"/>
      <c r="CF55" s="1192"/>
      <c r="CG55" s="1192"/>
      <c r="CH55" s="1192"/>
      <c r="CI55" s="1192"/>
      <c r="CJ55" s="1192"/>
      <c r="CK55" s="1192"/>
      <c r="CL55" s="1192"/>
      <c r="CM55" s="1192"/>
      <c r="CN55" s="1192"/>
      <c r="CO55" s="1192"/>
      <c r="CP55" s="1192"/>
      <c r="CQ55" s="1192"/>
      <c r="CR55" s="1192"/>
      <c r="CS55" s="1192"/>
      <c r="CT55" s="1192"/>
      <c r="CU55" s="1192"/>
      <c r="CV55" s="1192"/>
      <c r="CW55" s="1192"/>
      <c r="CX55" s="1192"/>
      <c r="CY55" s="1192"/>
      <c r="CZ55" s="1192"/>
      <c r="DA55" s="1192"/>
      <c r="DB55" s="1192"/>
      <c r="DC55" s="1192"/>
      <c r="DD55" s="1192"/>
      <c r="DE55" s="1192"/>
      <c r="DF55" s="1192"/>
      <c r="DG55" s="1192"/>
      <c r="DH55" s="1192"/>
      <c r="DI55" s="1192"/>
      <c r="DJ55" s="1192"/>
      <c r="DK55" s="1192"/>
      <c r="DL55" s="1192"/>
      <c r="DM55" s="1192"/>
      <c r="DN55" s="1192"/>
      <c r="DO55" s="1192"/>
      <c r="DP55" s="1192"/>
      <c r="DQ55" s="1192"/>
      <c r="DR55" s="1192"/>
      <c r="DS55" s="1192"/>
      <c r="DT55" s="1192"/>
      <c r="DU55" s="1193"/>
      <c r="DV55" s="1193"/>
      <c r="DW55" s="1193"/>
      <c r="DX55" s="1193"/>
      <c r="DY55" s="1193"/>
      <c r="DZ55" s="1193"/>
      <c r="EA55" s="1193"/>
      <c r="EB55" s="1193"/>
      <c r="EC55" s="1193"/>
      <c r="ED55" s="1193"/>
      <c r="EE55" s="1193"/>
      <c r="EF55" s="1193"/>
      <c r="EG55" s="1193"/>
      <c r="EH55" s="1193"/>
      <c r="EI55" s="1193"/>
      <c r="EJ55" s="1193"/>
      <c r="EK55" s="1193"/>
      <c r="EL55" s="1193"/>
      <c r="EM55" s="1193"/>
      <c r="EN55" s="1193"/>
      <c r="EO55" s="1193"/>
      <c r="EP55" s="1193"/>
      <c r="EQ55" s="1193"/>
      <c r="ER55" s="1193"/>
      <c r="ES55" s="1193"/>
      <c r="ET55" s="1193"/>
      <c r="EU55" s="1193"/>
      <c r="EV55" s="1193"/>
      <c r="EW55" s="1193"/>
      <c r="EX55" s="1193"/>
      <c r="EY55" s="1193"/>
      <c r="EZ55" s="1193"/>
      <c r="FA55" s="1193"/>
      <c r="FB55" s="1193"/>
      <c r="FC55" s="1193"/>
      <c r="FD55" s="1193"/>
      <c r="FE55" s="1193"/>
      <c r="FF55" s="1193"/>
      <c r="FG55" s="1193"/>
      <c r="FH55" s="1193"/>
      <c r="FI55" s="1193"/>
      <c r="FJ55" s="1193"/>
      <c r="FK55" s="1193"/>
      <c r="FL55" s="1193"/>
      <c r="FM55" s="1193"/>
      <c r="FN55" s="1193"/>
      <c r="FO55" s="1193"/>
      <c r="FP55" s="1193"/>
      <c r="FQ55" s="1193"/>
      <c r="FR55" s="1193"/>
      <c r="FS55" s="1193"/>
      <c r="FT55" s="1193"/>
      <c r="FU55" s="1193"/>
      <c r="FV55" s="1193"/>
      <c r="FW55" s="1193"/>
      <c r="FX55" s="1193"/>
      <c r="FY55" s="1193"/>
      <c r="FZ55" s="1193"/>
      <c r="GA55" s="1193"/>
      <c r="GB55" s="1193"/>
      <c r="GC55" s="1193"/>
      <c r="GD55" s="1193"/>
      <c r="GE55" s="1193"/>
      <c r="GF55" s="1193"/>
      <c r="GG55" s="1193"/>
      <c r="GH55" s="1193"/>
      <c r="GI55" s="1193"/>
      <c r="GJ55" s="1193"/>
      <c r="GK55" s="1193"/>
      <c r="GL55" s="1193"/>
      <c r="GM55" s="1193"/>
      <c r="GN55" s="1193"/>
      <c r="GO55" s="1193"/>
      <c r="GP55" s="1193"/>
    </row>
    <row r="56" spans="1:198" x14ac:dyDescent="0.2">
      <c r="A56" s="336" t="s">
        <v>51</v>
      </c>
      <c r="B56" s="250">
        <v>1</v>
      </c>
      <c r="C56" s="131">
        <v>1</v>
      </c>
      <c r="D56" s="131">
        <v>1</v>
      </c>
      <c r="E56" s="232">
        <f t="shared" si="61"/>
        <v>0</v>
      </c>
      <c r="F56" s="293">
        <v>2</v>
      </c>
      <c r="G56" s="1386">
        <v>2</v>
      </c>
      <c r="H56" s="1386">
        <v>2</v>
      </c>
      <c r="I56" s="569">
        <f t="shared" si="62"/>
        <v>0</v>
      </c>
      <c r="J56" s="157">
        <v>2</v>
      </c>
      <c r="K56" s="637">
        <v>2</v>
      </c>
      <c r="L56" s="637">
        <v>2</v>
      </c>
      <c r="M56" s="637">
        <f t="shared" si="63"/>
        <v>0</v>
      </c>
      <c r="N56" s="148">
        <f>B56+F56+J56</f>
        <v>5</v>
      </c>
      <c r="O56" s="131">
        <f t="shared" si="64"/>
        <v>5</v>
      </c>
      <c r="P56" s="131">
        <f t="shared" si="64"/>
        <v>5</v>
      </c>
      <c r="Q56" s="356">
        <f t="shared" si="60"/>
        <v>0</v>
      </c>
      <c r="R56" s="157" t="e">
        <f>#REF!+#REF!+#REF!+#REF!+#REF!+#REF!+#REF!+#REF!+#REF!+#REF!</f>
        <v>#REF!</v>
      </c>
      <c r="S56" s="293"/>
      <c r="T56" s="131"/>
      <c r="U56" s="131"/>
      <c r="V56" s="356">
        <f t="shared" si="65"/>
        <v>0</v>
      </c>
      <c r="W56" s="429"/>
    </row>
    <row r="57" spans="1:198" x14ac:dyDescent="0.2">
      <c r="A57" s="336" t="s">
        <v>52</v>
      </c>
      <c r="B57" s="131">
        <f t="shared" ref="B57:D57" si="66">SUM(B53:B56)</f>
        <v>12</v>
      </c>
      <c r="C57" s="131">
        <f t="shared" ref="C57" si="67">SUM(C53:C56)</f>
        <v>12</v>
      </c>
      <c r="D57" s="131">
        <f t="shared" si="66"/>
        <v>12</v>
      </c>
      <c r="E57" s="232">
        <f t="shared" si="61"/>
        <v>0</v>
      </c>
      <c r="F57" s="293">
        <f t="shared" ref="F57" si="68">SUM(F53:F56)</f>
        <v>32</v>
      </c>
      <c r="G57" s="232">
        <f>SUM(G53:G56)</f>
        <v>32</v>
      </c>
      <c r="H57" s="232">
        <f>SUM(H53:H56)</f>
        <v>32</v>
      </c>
      <c r="I57" s="569">
        <f t="shared" si="62"/>
        <v>0</v>
      </c>
      <c r="J57" s="157">
        <f t="shared" ref="J57" si="69">SUM(J53:J56)</f>
        <v>16</v>
      </c>
      <c r="K57" s="131">
        <f>SUM(K53:K56)</f>
        <v>16</v>
      </c>
      <c r="L57" s="131">
        <f>SUM(L53:L56)</f>
        <v>16</v>
      </c>
      <c r="M57" s="637">
        <f t="shared" si="63"/>
        <v>0</v>
      </c>
      <c r="N57" s="148">
        <f>SUM(N53:N56)</f>
        <v>60</v>
      </c>
      <c r="O57" s="131">
        <f t="shared" si="64"/>
        <v>60</v>
      </c>
      <c r="P57" s="131">
        <f t="shared" si="64"/>
        <v>60</v>
      </c>
      <c r="Q57" s="356">
        <f>SUM(Q53:Q56)</f>
        <v>0</v>
      </c>
      <c r="R57" s="157" t="e">
        <f t="shared" ref="R57" si="70">SUM(R53:R56)</f>
        <v>#REF!</v>
      </c>
      <c r="S57" s="148">
        <f>SUM(S53:S56)</f>
        <v>73.5</v>
      </c>
      <c r="T57" s="131">
        <f>SUM(T53:T56)</f>
        <v>72.5</v>
      </c>
      <c r="U57" s="131">
        <f>SUM(U53:U56)</f>
        <v>68.5</v>
      </c>
      <c r="V57" s="356">
        <f t="shared" si="65"/>
        <v>-4</v>
      </c>
      <c r="W57" s="429"/>
    </row>
    <row r="58" spans="1:198" x14ac:dyDescent="0.2">
      <c r="A58" s="336" t="s">
        <v>53</v>
      </c>
      <c r="B58" s="421"/>
      <c r="C58" s="130"/>
      <c r="D58" s="130"/>
      <c r="E58" s="231"/>
      <c r="F58" s="560"/>
      <c r="G58" s="583"/>
      <c r="H58" s="583"/>
      <c r="I58" s="680"/>
      <c r="J58" s="162"/>
      <c r="K58" s="637"/>
      <c r="L58" s="637"/>
      <c r="M58" s="637"/>
      <c r="N58" s="147"/>
      <c r="O58" s="231"/>
      <c r="P58" s="231"/>
      <c r="Q58" s="132"/>
      <c r="R58" s="157" t="e">
        <f>#REF!+#REF!+#REF!+#REF!+#REF!+#REF!+#REF!+#REF!+#REF!+#REF!</f>
        <v>#REF!</v>
      </c>
      <c r="S58" s="148">
        <v>8</v>
      </c>
      <c r="T58" s="232">
        <v>8</v>
      </c>
      <c r="U58" s="232">
        <v>8</v>
      </c>
      <c r="V58" s="356">
        <f t="shared" si="65"/>
        <v>0</v>
      </c>
      <c r="W58" s="429"/>
    </row>
    <row r="59" spans="1:198" x14ac:dyDescent="0.2">
      <c r="A59" s="361" t="s">
        <v>491</v>
      </c>
      <c r="B59" s="421"/>
      <c r="C59" s="130"/>
      <c r="D59" s="130"/>
      <c r="E59" s="231"/>
      <c r="F59" s="560"/>
      <c r="G59" s="231"/>
      <c r="H59" s="231"/>
      <c r="I59" s="132"/>
      <c r="J59" s="162"/>
      <c r="K59" s="131"/>
      <c r="L59" s="131"/>
      <c r="M59" s="131"/>
      <c r="N59" s="147"/>
      <c r="O59" s="231"/>
      <c r="P59" s="231"/>
      <c r="Q59" s="132"/>
      <c r="R59" s="157"/>
      <c r="S59" s="148">
        <v>2</v>
      </c>
      <c r="T59" s="232">
        <v>2</v>
      </c>
      <c r="U59" s="232">
        <v>2</v>
      </c>
      <c r="V59" s="356">
        <f t="shared" si="65"/>
        <v>0</v>
      </c>
      <c r="W59" s="429"/>
    </row>
    <row r="60" spans="1:198" ht="15.75" thickBot="1" x14ac:dyDescent="0.3">
      <c r="A60" s="337" t="s">
        <v>54</v>
      </c>
      <c r="B60" s="430"/>
      <c r="C60" s="635"/>
      <c r="D60" s="635"/>
      <c r="E60" s="1676"/>
      <c r="F60" s="562"/>
      <c r="G60" s="431"/>
      <c r="H60" s="431"/>
      <c r="I60" s="681"/>
      <c r="J60" s="679"/>
      <c r="K60" s="432"/>
      <c r="L60" s="432"/>
      <c r="M60" s="432"/>
      <c r="N60" s="149"/>
      <c r="O60" s="431"/>
      <c r="P60" s="431"/>
      <c r="Q60" s="681"/>
      <c r="R60" s="251" t="e">
        <f>#REF!+#REF!+#REF!+#REF!+#REF!+#REF!+#REF!+#REF!+#REF!+#REF!</f>
        <v>#REF!</v>
      </c>
      <c r="S60" s="168">
        <v>15</v>
      </c>
      <c r="T60" s="432">
        <v>15</v>
      </c>
      <c r="U60" s="432">
        <v>15</v>
      </c>
      <c r="V60" s="1540">
        <f t="shared" si="65"/>
        <v>0</v>
      </c>
      <c r="W60" s="429"/>
    </row>
    <row r="61" spans="1:198" x14ac:dyDescent="0.2">
      <c r="W61" s="429"/>
    </row>
  </sheetData>
  <sheetProtection selectLockedCells="1" selectUnlockedCells="1"/>
  <mergeCells count="7">
    <mergeCell ref="A6:V6"/>
    <mergeCell ref="A10:A11"/>
    <mergeCell ref="B10:E10"/>
    <mergeCell ref="F10:I10"/>
    <mergeCell ref="J10:M10"/>
    <mergeCell ref="N10:Q10"/>
    <mergeCell ref="S10:V10"/>
  </mergeCells>
  <printOptions horizontalCentered="1"/>
  <pageMargins left="2.75E-2" right="0.25" top="0.75" bottom="0.75" header="0.3" footer="0.3"/>
  <pageSetup paperSize="9" scale="46" firstPageNumber="0" fitToWidth="0" fitToHeight="0" orientation="landscape" r:id="rId1"/>
  <headerFooter alignWithMargins="0">
    <oddHeader xml:space="preserve">&amp;C
2/a. melléklet 
 az önkormányzat 2020. évi költségvetéséről szóló 6/2019. (III.06.) önkormányzati rendelethez
a 42/2020. (XII.21.) önkormányzati rendelet módosítással egységes szerkezetbe foglalva&amp;R&amp;12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95"/>
  <sheetViews>
    <sheetView view="pageLayout" topLeftCell="F1" zoomScaleNormal="100" zoomScaleSheetLayoutView="78" workbookViewId="0">
      <selection activeCell="D39" sqref="D39"/>
    </sheetView>
  </sheetViews>
  <sheetFormatPr defaultRowHeight="14.25" x14ac:dyDescent="0.2"/>
  <cols>
    <col min="1" max="1" width="77.5703125" style="101" customWidth="1"/>
    <col min="2" max="2" width="10.85546875" style="101" bestFit="1" customWidth="1"/>
    <col min="3" max="3" width="10.85546875" style="660" customWidth="1"/>
    <col min="4" max="4" width="12.140625" style="101" bestFit="1" customWidth="1"/>
    <col min="5" max="5" width="16.28515625" style="483" customWidth="1"/>
    <col min="6" max="6" width="14.140625" customWidth="1"/>
    <col min="7" max="7" width="13.7109375" customWidth="1"/>
    <col min="8" max="8" width="13.7109375" style="639" customWidth="1"/>
    <col min="9" max="9" width="14.5703125" customWidth="1"/>
    <col min="10" max="10" width="13.42578125" customWidth="1"/>
    <col min="11" max="11" width="14.28515625" bestFit="1" customWidth="1"/>
    <col min="13" max="13" width="15.7109375" customWidth="1"/>
  </cols>
  <sheetData>
    <row r="1" spans="1:11" ht="15.75" x14ac:dyDescent="0.25">
      <c r="A1" s="1940" t="s">
        <v>656</v>
      </c>
      <c r="B1" s="1940"/>
      <c r="C1" s="1940"/>
      <c r="D1" s="1940"/>
      <c r="E1" s="1940"/>
    </row>
    <row r="2" spans="1:11" ht="15" thickBot="1" x14ac:dyDescent="0.25"/>
    <row r="3" spans="1:11" ht="26.45" customHeight="1" x14ac:dyDescent="0.2">
      <c r="A3" s="1941" t="s">
        <v>302</v>
      </c>
      <c r="B3" s="1943" t="s">
        <v>55</v>
      </c>
      <c r="C3" s="1945" t="s">
        <v>56</v>
      </c>
      <c r="D3" s="1947" t="s">
        <v>57</v>
      </c>
      <c r="E3" s="1949" t="s">
        <v>278</v>
      </c>
      <c r="F3" s="1936" t="s">
        <v>989</v>
      </c>
      <c r="G3" s="1938" t="s">
        <v>990</v>
      </c>
      <c r="H3" s="1932" t="s">
        <v>1022</v>
      </c>
      <c r="I3" s="1934" t="s">
        <v>1023</v>
      </c>
      <c r="J3" s="1932" t="s">
        <v>1112</v>
      </c>
      <c r="K3" s="1934" t="s">
        <v>1113</v>
      </c>
    </row>
    <row r="4" spans="1:11" ht="13.9" customHeight="1" thickBot="1" x14ac:dyDescent="0.25">
      <c r="A4" s="1942"/>
      <c r="B4" s="1944"/>
      <c r="C4" s="1946"/>
      <c r="D4" s="1948"/>
      <c r="E4" s="1950"/>
      <c r="F4" s="1937"/>
      <c r="G4" s="1939"/>
      <c r="H4" s="1933"/>
      <c r="I4" s="1935"/>
      <c r="J4" s="1933"/>
      <c r="K4" s="1935"/>
    </row>
    <row r="5" spans="1:11" ht="15" x14ac:dyDescent="0.25">
      <c r="A5" s="743" t="s">
        <v>315</v>
      </c>
      <c r="B5" s="398"/>
      <c r="C5" s="399"/>
      <c r="D5" s="1632"/>
      <c r="E5" s="1633">
        <f>E6+E28</f>
        <v>508615472</v>
      </c>
      <c r="F5" s="1634">
        <f>F6+F28</f>
        <v>-178887517</v>
      </c>
      <c r="G5" s="1635">
        <f t="shared" ref="G5:I7" si="0">E5+F5</f>
        <v>329727955</v>
      </c>
      <c r="H5" s="1636">
        <f>H6+H28</f>
        <v>985035</v>
      </c>
      <c r="I5" s="1637">
        <f t="shared" si="0"/>
        <v>330712990</v>
      </c>
      <c r="J5" s="1636">
        <f>J6+J28</f>
        <v>0</v>
      </c>
      <c r="K5" s="1637">
        <f t="shared" ref="K5" si="1">I5+J5</f>
        <v>330712990</v>
      </c>
    </row>
    <row r="6" spans="1:11" ht="15" x14ac:dyDescent="0.25">
      <c r="A6" s="102" t="s">
        <v>368</v>
      </c>
      <c r="B6" s="100"/>
      <c r="C6" s="117"/>
      <c r="D6" s="104"/>
      <c r="E6" s="1317">
        <f>E7+E10+E20+E21+E23+E24+E26+E27</f>
        <v>508615472</v>
      </c>
      <c r="F6" s="1331">
        <f>F7+F10+F20+F21+F23+F24+F26+F27</f>
        <v>-178887517</v>
      </c>
      <c r="G6" s="1461">
        <f>E6+F6</f>
        <v>329727955</v>
      </c>
      <c r="H6" s="1469">
        <f>H7+H10+H20+H21+H23+H24+H26+H27</f>
        <v>985035</v>
      </c>
      <c r="I6" s="1337">
        <f>G6+H6</f>
        <v>330712990</v>
      </c>
      <c r="J6" s="1469">
        <f>J7+J10+J20+J21+J23+J24+J26+J27</f>
        <v>0</v>
      </c>
      <c r="K6" s="282">
        <f>I6+J6</f>
        <v>330712990</v>
      </c>
    </row>
    <row r="7" spans="1:11" ht="15" x14ac:dyDescent="0.25">
      <c r="A7" s="102" t="s">
        <v>58</v>
      </c>
      <c r="B7" s="100"/>
      <c r="C7" s="117"/>
      <c r="D7" s="104"/>
      <c r="E7" s="1318">
        <f>E8</f>
        <v>179444400</v>
      </c>
      <c r="F7" s="1332">
        <f>F8</f>
        <v>35293127</v>
      </c>
      <c r="G7" s="1461">
        <f t="shared" si="0"/>
        <v>214737527</v>
      </c>
      <c r="H7" s="1469">
        <f>H8</f>
        <v>0</v>
      </c>
      <c r="I7" s="1337">
        <f t="shared" si="0"/>
        <v>214737527</v>
      </c>
      <c r="J7" s="1469">
        <f>J8</f>
        <v>0</v>
      </c>
      <c r="K7" s="282">
        <f t="shared" ref="K7" si="2">I7+J7</f>
        <v>214737527</v>
      </c>
    </row>
    <row r="8" spans="1:11" ht="15" x14ac:dyDescent="0.25">
      <c r="A8" s="97" t="s">
        <v>59</v>
      </c>
      <c r="B8" s="100"/>
      <c r="C8" s="111">
        <v>39.18</v>
      </c>
      <c r="D8" s="96">
        <v>4580000</v>
      </c>
      <c r="E8" s="1319">
        <f>C8*D8</f>
        <v>179444400</v>
      </c>
      <c r="F8" s="1333">
        <v>35293127</v>
      </c>
      <c r="G8" s="1461">
        <f>E8+F8</f>
        <v>214737527</v>
      </c>
      <c r="H8" s="1465"/>
      <c r="I8" s="1337">
        <f>G8+H8</f>
        <v>214737527</v>
      </c>
      <c r="J8" s="1468"/>
      <c r="K8" s="282">
        <f>I8+J8</f>
        <v>214737527</v>
      </c>
    </row>
    <row r="9" spans="1:11" ht="15" x14ac:dyDescent="0.25">
      <c r="A9" s="97" t="s">
        <v>61</v>
      </c>
      <c r="B9" s="100"/>
      <c r="C9" s="117"/>
      <c r="D9" s="104"/>
      <c r="E9" s="1320">
        <v>0</v>
      </c>
      <c r="F9" s="1333"/>
      <c r="G9" s="1462"/>
      <c r="H9" s="1465"/>
      <c r="I9" s="1337">
        <f t="shared" ref="I9:I10" si="3">G9+H9</f>
        <v>0</v>
      </c>
      <c r="J9" s="1468"/>
      <c r="K9" s="282">
        <f t="shared" ref="K9:K10" si="4">I9+J9</f>
        <v>0</v>
      </c>
    </row>
    <row r="10" spans="1:11" ht="15" x14ac:dyDescent="0.25">
      <c r="A10" s="97" t="s">
        <v>1024</v>
      </c>
      <c r="B10" s="100"/>
      <c r="C10" s="117"/>
      <c r="D10" s="104"/>
      <c r="E10" s="1318">
        <f>E11+E12+E13+E14+E15+E16+E17+E18</f>
        <v>0</v>
      </c>
      <c r="F10" s="1333"/>
      <c r="G10" s="1462"/>
      <c r="H10" s="1465">
        <v>985035</v>
      </c>
      <c r="I10" s="1337">
        <f t="shared" si="3"/>
        <v>985035</v>
      </c>
      <c r="J10" s="1468"/>
      <c r="K10" s="282">
        <f t="shared" si="4"/>
        <v>985035</v>
      </c>
    </row>
    <row r="11" spans="1:11" ht="15" x14ac:dyDescent="0.25">
      <c r="A11" s="283" t="s">
        <v>345</v>
      </c>
      <c r="B11" s="100"/>
      <c r="C11" s="111">
        <v>705.7</v>
      </c>
      <c r="D11" s="96">
        <v>25200</v>
      </c>
      <c r="E11" s="1319">
        <f>C11*D11</f>
        <v>17783640</v>
      </c>
      <c r="F11" s="1333"/>
      <c r="G11" s="1319">
        <f>E11*F11</f>
        <v>0</v>
      </c>
      <c r="H11" s="1466"/>
      <c r="I11" s="663">
        <f>G11*H11</f>
        <v>0</v>
      </c>
      <c r="J11" s="1466"/>
      <c r="K11" s="663">
        <f>I11*J11</f>
        <v>0</v>
      </c>
    </row>
    <row r="12" spans="1:11" ht="15" x14ac:dyDescent="0.25">
      <c r="A12" s="107" t="s">
        <v>454</v>
      </c>
      <c r="B12" s="100"/>
      <c r="C12" s="117"/>
      <c r="D12" s="104"/>
      <c r="E12" s="1320">
        <f>-E11</f>
        <v>-17783640</v>
      </c>
      <c r="F12" s="1333"/>
      <c r="G12" s="1320">
        <f>-G11</f>
        <v>0</v>
      </c>
      <c r="H12" s="1467"/>
      <c r="I12" s="664">
        <f>-I11</f>
        <v>0</v>
      </c>
      <c r="J12" s="1467"/>
      <c r="K12" s="664">
        <f>-K11</f>
        <v>0</v>
      </c>
    </row>
    <row r="13" spans="1:11" ht="15" x14ac:dyDescent="0.25">
      <c r="A13" s="107" t="s">
        <v>61</v>
      </c>
      <c r="B13" s="100"/>
      <c r="C13" s="117"/>
      <c r="D13" s="104"/>
      <c r="E13" s="689">
        <v>58760000</v>
      </c>
      <c r="F13" s="1333"/>
      <c r="G13" s="1328">
        <v>58760000</v>
      </c>
      <c r="H13" s="1468"/>
      <c r="I13" s="282">
        <v>58760000</v>
      </c>
      <c r="J13" s="1468"/>
      <c r="K13" s="282">
        <v>58760000</v>
      </c>
    </row>
    <row r="14" spans="1:11" ht="15" x14ac:dyDescent="0.25">
      <c r="A14" s="107" t="s">
        <v>62</v>
      </c>
      <c r="B14" s="100"/>
      <c r="C14" s="117"/>
      <c r="D14" s="104"/>
      <c r="E14" s="1320">
        <f>-E13</f>
        <v>-58760000</v>
      </c>
      <c r="F14" s="1333"/>
      <c r="G14" s="1320">
        <f>-G13</f>
        <v>-58760000</v>
      </c>
      <c r="H14" s="1467"/>
      <c r="I14" s="664">
        <f>-I13</f>
        <v>-58760000</v>
      </c>
      <c r="J14" s="1467"/>
      <c r="K14" s="664">
        <f>-K13</f>
        <v>-58760000</v>
      </c>
    </row>
    <row r="15" spans="1:11" ht="15" x14ac:dyDescent="0.25">
      <c r="A15" s="107" t="s">
        <v>61</v>
      </c>
      <c r="B15" s="100"/>
      <c r="C15" s="117"/>
      <c r="D15" s="104"/>
      <c r="E15" s="689">
        <v>2176616</v>
      </c>
      <c r="F15" s="1333"/>
      <c r="G15" s="1328">
        <v>2176616</v>
      </c>
      <c r="H15" s="1468"/>
      <c r="I15" s="282">
        <v>2176616</v>
      </c>
      <c r="J15" s="1468"/>
      <c r="K15" s="282">
        <v>2176616</v>
      </c>
    </row>
    <row r="16" spans="1:11" ht="15" x14ac:dyDescent="0.25">
      <c r="A16" s="107" t="s">
        <v>63</v>
      </c>
      <c r="B16" s="100"/>
      <c r="C16" s="117"/>
      <c r="D16" s="104"/>
      <c r="E16" s="1320">
        <f>-E15</f>
        <v>-2176616</v>
      </c>
      <c r="F16" s="1333"/>
      <c r="G16" s="1320">
        <f>-G15</f>
        <v>-2176616</v>
      </c>
      <c r="H16" s="1467"/>
      <c r="I16" s="664">
        <f>-I15</f>
        <v>-2176616</v>
      </c>
      <c r="J16" s="1467"/>
      <c r="K16" s="664">
        <f>-K15</f>
        <v>-2176616</v>
      </c>
    </row>
    <row r="17" spans="1:11" ht="15" x14ac:dyDescent="0.25">
      <c r="A17" s="107" t="s">
        <v>61</v>
      </c>
      <c r="B17" s="100"/>
      <c r="C17" s="117"/>
      <c r="D17" s="104"/>
      <c r="E17" s="1319">
        <v>22310850</v>
      </c>
      <c r="F17" s="1333"/>
      <c r="G17" s="1319">
        <v>22310850</v>
      </c>
      <c r="H17" s="1466"/>
      <c r="I17" s="663">
        <v>22310850</v>
      </c>
      <c r="J17" s="1466"/>
      <c r="K17" s="663">
        <v>22310850</v>
      </c>
    </row>
    <row r="18" spans="1:11" ht="15" x14ac:dyDescent="0.25">
      <c r="A18" s="107" t="s">
        <v>64</v>
      </c>
      <c r="B18" s="100"/>
      <c r="C18" s="117"/>
      <c r="D18" s="104"/>
      <c r="E18" s="1320">
        <f>-E17</f>
        <v>-22310850</v>
      </c>
      <c r="F18" s="1333"/>
      <c r="G18" s="1320">
        <f>-G17</f>
        <v>-22310850</v>
      </c>
      <c r="H18" s="1467"/>
      <c r="I18" s="664">
        <f>-I17</f>
        <v>-22310850</v>
      </c>
      <c r="J18" s="1467"/>
      <c r="K18" s="664">
        <f>-K17</f>
        <v>-22310850</v>
      </c>
    </row>
    <row r="19" spans="1:11" ht="15" x14ac:dyDescent="0.25">
      <c r="A19" s="107" t="s">
        <v>61</v>
      </c>
      <c r="B19" s="100"/>
      <c r="C19" s="117"/>
      <c r="D19" s="104"/>
      <c r="E19" s="1317">
        <f>E20+E21</f>
        <v>0</v>
      </c>
      <c r="F19" s="1333"/>
      <c r="G19" s="1317">
        <f>G20+G21</f>
        <v>0</v>
      </c>
      <c r="H19" s="1469"/>
      <c r="I19" s="661">
        <f>I20+I21</f>
        <v>0</v>
      </c>
      <c r="J19" s="1469"/>
      <c r="K19" s="661">
        <f>K20+K21</f>
        <v>0</v>
      </c>
    </row>
    <row r="20" spans="1:11" ht="15" x14ac:dyDescent="0.25">
      <c r="A20" s="102" t="s">
        <v>346</v>
      </c>
      <c r="B20" s="99"/>
      <c r="C20" s="111">
        <v>13637</v>
      </c>
      <c r="D20" s="96">
        <v>2700</v>
      </c>
      <c r="E20" s="689">
        <v>36819900</v>
      </c>
      <c r="F20" s="1333"/>
      <c r="G20" s="1328">
        <v>36819900</v>
      </c>
      <c r="H20" s="1468"/>
      <c r="I20" s="282">
        <v>36819900</v>
      </c>
      <c r="J20" s="1468"/>
      <c r="K20" s="282">
        <v>36819900</v>
      </c>
    </row>
    <row r="21" spans="1:11" ht="15" x14ac:dyDescent="0.25">
      <c r="A21" s="97" t="s">
        <v>305</v>
      </c>
      <c r="B21" s="100"/>
      <c r="C21" s="111"/>
      <c r="D21" s="96"/>
      <c r="E21" s="1319">
        <f>-E20</f>
        <v>-36819900</v>
      </c>
      <c r="F21" s="1333"/>
      <c r="G21" s="1319">
        <f>-G20</f>
        <v>-36819900</v>
      </c>
      <c r="H21" s="1466"/>
      <c r="I21" s="663">
        <f>-I20</f>
        <v>-36819900</v>
      </c>
      <c r="J21" s="1466"/>
      <c r="K21" s="663">
        <f>-K20</f>
        <v>-36819900</v>
      </c>
    </row>
    <row r="22" spans="1:11" ht="15" x14ac:dyDescent="0.25">
      <c r="A22" s="107" t="s">
        <v>61</v>
      </c>
      <c r="B22" s="100"/>
      <c r="C22" s="111"/>
      <c r="D22" s="96"/>
      <c r="E22" s="1318">
        <f>E23+E24</f>
        <v>0</v>
      </c>
      <c r="F22" s="1333"/>
      <c r="G22" s="1318">
        <f>G23+G24</f>
        <v>0</v>
      </c>
      <c r="H22" s="1470"/>
      <c r="I22" s="662">
        <f>I23+I24</f>
        <v>0</v>
      </c>
      <c r="J22" s="1470"/>
      <c r="K22" s="662">
        <f>K23+K24</f>
        <v>0</v>
      </c>
    </row>
    <row r="23" spans="1:11" ht="15" x14ac:dyDescent="0.25">
      <c r="A23" s="102" t="s">
        <v>347</v>
      </c>
      <c r="B23" s="100"/>
      <c r="C23" s="111">
        <v>114</v>
      </c>
      <c r="D23" s="109">
        <v>2550</v>
      </c>
      <c r="E23" s="1321">
        <v>290700</v>
      </c>
      <c r="F23" s="1333"/>
      <c r="G23" s="1321">
        <v>290700</v>
      </c>
      <c r="H23" s="1471"/>
      <c r="I23" s="665">
        <v>290700</v>
      </c>
      <c r="J23" s="1471"/>
      <c r="K23" s="665">
        <v>290700</v>
      </c>
    </row>
    <row r="24" spans="1:11" ht="15" x14ac:dyDescent="0.25">
      <c r="A24" s="97" t="s">
        <v>82</v>
      </c>
      <c r="B24" s="100"/>
      <c r="C24" s="117"/>
      <c r="D24" s="281"/>
      <c r="E24" s="1322">
        <f>-E23</f>
        <v>-290700</v>
      </c>
      <c r="F24" s="1333"/>
      <c r="G24" s="1322">
        <f>-G23</f>
        <v>-290700</v>
      </c>
      <c r="H24" s="287"/>
      <c r="I24" s="649">
        <f>-I23</f>
        <v>-290700</v>
      </c>
      <c r="J24" s="287"/>
      <c r="K24" s="649">
        <f>-K23</f>
        <v>-290700</v>
      </c>
    </row>
    <row r="25" spans="1:11" ht="15" x14ac:dyDescent="0.25">
      <c r="A25" s="107" t="s">
        <v>61</v>
      </c>
      <c r="B25" s="100"/>
      <c r="C25" s="111"/>
      <c r="D25" s="96"/>
      <c r="E25" s="1323">
        <f>SUM(E26:E27)</f>
        <v>329171072</v>
      </c>
      <c r="F25" s="1334">
        <f>SUM(F26:F27)</f>
        <v>-214180644</v>
      </c>
      <c r="G25" s="1461">
        <f>E25+F25</f>
        <v>114990428</v>
      </c>
      <c r="H25" s="1465"/>
      <c r="I25" s="1337">
        <f>G25+H25</f>
        <v>114990428</v>
      </c>
      <c r="J25" s="1468"/>
      <c r="K25" s="282">
        <f>I25+J25</f>
        <v>114990428</v>
      </c>
    </row>
    <row r="26" spans="1:11" ht="15" x14ac:dyDescent="0.25">
      <c r="A26" s="284" t="s">
        <v>348</v>
      </c>
      <c r="B26" s="100"/>
      <c r="C26" s="111"/>
      <c r="D26" s="96"/>
      <c r="E26" s="689">
        <v>398121613</v>
      </c>
      <c r="F26" s="638">
        <v>-214180644</v>
      </c>
      <c r="G26" s="1461">
        <f>E26+F26</f>
        <v>183940969</v>
      </c>
      <c r="H26" s="1465"/>
      <c r="I26" s="1337">
        <f>G26+H26</f>
        <v>183940969</v>
      </c>
      <c r="J26" s="1468"/>
      <c r="K26" s="282">
        <f>I26+J26</f>
        <v>183940969</v>
      </c>
    </row>
    <row r="27" spans="1:11" ht="15" x14ac:dyDescent="0.25">
      <c r="A27" s="110" t="s">
        <v>349</v>
      </c>
      <c r="B27" s="100"/>
      <c r="C27" s="111"/>
      <c r="D27" s="96"/>
      <c r="E27" s="1319">
        <v>-68950541</v>
      </c>
      <c r="F27" s="1333"/>
      <c r="G27" s="1461">
        <f>E27+F27</f>
        <v>-68950541</v>
      </c>
      <c r="H27" s="1465"/>
      <c r="I27" s="1337">
        <f>G27+H27</f>
        <v>-68950541</v>
      </c>
      <c r="J27" s="1468"/>
      <c r="K27" s="282">
        <f>I27+J27</f>
        <v>-68950541</v>
      </c>
    </row>
    <row r="28" spans="1:11" ht="15" x14ac:dyDescent="0.25">
      <c r="A28" s="107" t="s">
        <v>61</v>
      </c>
      <c r="B28" s="100"/>
      <c r="C28" s="117"/>
      <c r="D28" s="104"/>
      <c r="E28" s="1318">
        <v>0</v>
      </c>
      <c r="F28" s="1333"/>
      <c r="G28" s="1462"/>
      <c r="H28" s="1465"/>
      <c r="I28" s="1338"/>
      <c r="J28" s="1468"/>
      <c r="K28" s="1626"/>
    </row>
    <row r="29" spans="1:11" ht="15" x14ac:dyDescent="0.25">
      <c r="A29" s="283" t="s">
        <v>527</v>
      </c>
      <c r="B29" s="100"/>
      <c r="C29" s="111"/>
      <c r="D29" s="124"/>
      <c r="E29" s="1319"/>
      <c r="F29" s="1333"/>
      <c r="G29" s="1462"/>
      <c r="H29" s="1465"/>
      <c r="I29" s="1338"/>
      <c r="J29" s="1468"/>
      <c r="K29" s="1626"/>
    </row>
    <row r="30" spans="1:11" ht="15" x14ac:dyDescent="0.25">
      <c r="A30" s="107"/>
      <c r="B30" s="100"/>
      <c r="C30" s="111"/>
      <c r="D30" s="96"/>
      <c r="E30" s="1324"/>
      <c r="F30" s="104"/>
      <c r="G30" s="1324"/>
      <c r="H30" s="1472"/>
      <c r="I30" s="667"/>
      <c r="J30" s="1472"/>
      <c r="K30" s="667"/>
    </row>
    <row r="31" spans="1:11" ht="15" x14ac:dyDescent="0.25">
      <c r="A31" s="102" t="s">
        <v>350</v>
      </c>
      <c r="B31" s="100"/>
      <c r="C31" s="111"/>
      <c r="D31" s="96"/>
      <c r="E31" s="1324">
        <f>SUM(E32:E36)</f>
        <v>258054470</v>
      </c>
      <c r="F31" s="104">
        <f t="shared" ref="F31:G31" si="5">SUM(F32:F36)</f>
        <v>-14344836</v>
      </c>
      <c r="G31" s="1324">
        <f t="shared" si="5"/>
        <v>243709634</v>
      </c>
      <c r="H31" s="1472">
        <f>SUM(H32:H38)</f>
        <v>18286516</v>
      </c>
      <c r="I31" s="667">
        <f>SUM(I32:I38)</f>
        <v>261996150</v>
      </c>
      <c r="J31" s="1472">
        <f>SUM(J32:J37)</f>
        <v>6393830</v>
      </c>
      <c r="K31" s="667">
        <f>SUM(K32:K38)</f>
        <v>268389980</v>
      </c>
    </row>
    <row r="32" spans="1:11" x14ac:dyDescent="0.2">
      <c r="A32" s="97" t="s">
        <v>646</v>
      </c>
      <c r="B32" s="99">
        <v>34.9</v>
      </c>
      <c r="C32" s="111">
        <v>34.9</v>
      </c>
      <c r="D32" s="96">
        <v>4371500</v>
      </c>
      <c r="E32" s="1325">
        <f>B32*D32</f>
        <v>152565350</v>
      </c>
      <c r="F32" s="638">
        <v>-4371500</v>
      </c>
      <c r="G32" s="1461">
        <f>E32+F32</f>
        <v>148193850</v>
      </c>
      <c r="H32" s="1465"/>
      <c r="I32" s="1337">
        <f>G32+H32</f>
        <v>148193850</v>
      </c>
      <c r="J32" s="1468">
        <v>437150</v>
      </c>
      <c r="K32" s="282">
        <f>I32+J32</f>
        <v>148631000</v>
      </c>
    </row>
    <row r="33" spans="1:11" x14ac:dyDescent="0.2">
      <c r="A33" s="97" t="s">
        <v>647</v>
      </c>
      <c r="B33" s="99">
        <v>26</v>
      </c>
      <c r="C33" s="111">
        <v>26</v>
      </c>
      <c r="D33" s="96">
        <v>2400000</v>
      </c>
      <c r="E33" s="1325">
        <f>B33*D33</f>
        <v>62400000</v>
      </c>
      <c r="F33" s="638">
        <v>-9600000</v>
      </c>
      <c r="G33" s="1461">
        <f t="shared" ref="G33" si="6">E33+F33</f>
        <v>52800000</v>
      </c>
      <c r="H33" s="1465"/>
      <c r="I33" s="1337">
        <f t="shared" ref="I33" si="7">G33+H33</f>
        <v>52800000</v>
      </c>
      <c r="J33" s="1468">
        <v>6480000</v>
      </c>
      <c r="K33" s="282">
        <f t="shared" ref="K33" si="8">I33+J33</f>
        <v>59280000</v>
      </c>
    </row>
    <row r="34" spans="1:11" x14ac:dyDescent="0.2">
      <c r="A34" s="97" t="s">
        <v>1114</v>
      </c>
      <c r="B34" s="99">
        <v>381.3</v>
      </c>
      <c r="C34" s="111">
        <v>391.3</v>
      </c>
      <c r="D34" s="96">
        <v>97400</v>
      </c>
      <c r="E34" s="1325">
        <f>B34*D34</f>
        <v>37138620</v>
      </c>
      <c r="F34" s="638">
        <v>-1100620</v>
      </c>
      <c r="G34" s="1461">
        <f t="shared" ref="G34" si="9">E34+F34</f>
        <v>36038000</v>
      </c>
      <c r="H34" s="1465"/>
      <c r="I34" s="1337">
        <f t="shared" ref="I34" si="10">G34+H34</f>
        <v>36038000</v>
      </c>
      <c r="J34" s="1468">
        <v>-126620</v>
      </c>
      <c r="K34" s="282">
        <f t="shared" ref="K34" si="11">I34+J34</f>
        <v>35911380</v>
      </c>
    </row>
    <row r="35" spans="1:11" x14ac:dyDescent="0.2">
      <c r="A35" s="110" t="s">
        <v>657</v>
      </c>
      <c r="B35" s="99">
        <v>15</v>
      </c>
      <c r="C35" s="111">
        <v>15</v>
      </c>
      <c r="D35" s="96">
        <v>396700</v>
      </c>
      <c r="E35" s="1325">
        <f t="shared" ref="E35" si="12">C35*D35</f>
        <v>5950500</v>
      </c>
      <c r="F35" s="1333"/>
      <c r="G35" s="1461">
        <f t="shared" ref="G35" si="13">E35+F35</f>
        <v>5950500</v>
      </c>
      <c r="H35" s="1465"/>
      <c r="I35" s="1337">
        <f t="shared" ref="I35" si="14">G35+H35</f>
        <v>5950500</v>
      </c>
      <c r="J35" s="1468">
        <v>-396700</v>
      </c>
      <c r="K35" s="282">
        <f t="shared" ref="K35" si="15">I35+J35</f>
        <v>5553800</v>
      </c>
    </row>
    <row r="36" spans="1:11" ht="28.5" x14ac:dyDescent="0.2">
      <c r="A36" s="746" t="s">
        <v>658</v>
      </c>
      <c r="B36" s="99">
        <v>0</v>
      </c>
      <c r="C36" s="111">
        <v>0</v>
      </c>
      <c r="D36" s="96">
        <v>363642</v>
      </c>
      <c r="E36" s="1325">
        <f t="shared" ref="E36" si="16">C36*D36</f>
        <v>0</v>
      </c>
      <c r="F36" s="638">
        <v>727284</v>
      </c>
      <c r="G36" s="1461">
        <f t="shared" ref="G36" si="17">E36+F36</f>
        <v>727284</v>
      </c>
      <c r="H36" s="1465"/>
      <c r="I36" s="1337">
        <f t="shared" ref="I36" si="18">G36+H36</f>
        <v>727284</v>
      </c>
      <c r="J36" s="1468"/>
      <c r="K36" s="282">
        <f t="shared" ref="K36" si="19">I36+J36</f>
        <v>727284</v>
      </c>
    </row>
    <row r="37" spans="1:11" x14ac:dyDescent="0.2">
      <c r="A37" s="747" t="s">
        <v>1024</v>
      </c>
      <c r="B37" s="748"/>
      <c r="C37" s="744"/>
      <c r="D37" s="745"/>
      <c r="E37" s="1326"/>
      <c r="F37" s="1333"/>
      <c r="G37" s="1462"/>
      <c r="H37" s="1465">
        <v>18286516</v>
      </c>
      <c r="I37" s="1337">
        <f t="shared" ref="I37" si="20">G37+H37</f>
        <v>18286516</v>
      </c>
      <c r="J37" s="1468"/>
      <c r="K37" s="282">
        <f t="shared" ref="K37" si="21">I37+J37</f>
        <v>18286516</v>
      </c>
    </row>
    <row r="38" spans="1:11" ht="12.75" customHeight="1" x14ac:dyDescent="0.25">
      <c r="A38" s="747"/>
      <c r="B38" s="398"/>
      <c r="C38" s="744"/>
      <c r="D38" s="745"/>
      <c r="E38" s="1327"/>
      <c r="F38" s="104"/>
      <c r="G38" s="1324"/>
      <c r="H38" s="1472"/>
      <c r="I38" s="667"/>
      <c r="J38" s="1472"/>
      <c r="K38" s="667"/>
    </row>
    <row r="39" spans="1:11" ht="12.75" customHeight="1" x14ac:dyDescent="0.25">
      <c r="A39" s="743" t="s">
        <v>316</v>
      </c>
      <c r="B39" s="100"/>
      <c r="C39" s="111"/>
      <c r="D39" s="96"/>
      <c r="E39" s="1327">
        <f t="shared" ref="E39:K39" si="22">E40+E43+E57+E62</f>
        <v>231000305</v>
      </c>
      <c r="F39" s="104">
        <f t="shared" si="22"/>
        <v>-32404376</v>
      </c>
      <c r="G39" s="1324">
        <f t="shared" si="22"/>
        <v>198595929</v>
      </c>
      <c r="H39" s="1537">
        <f t="shared" si="22"/>
        <v>14895420</v>
      </c>
      <c r="I39" s="667">
        <f t="shared" si="22"/>
        <v>213491349</v>
      </c>
      <c r="J39" s="1537">
        <f t="shared" si="22"/>
        <v>-540170</v>
      </c>
      <c r="K39" s="667">
        <f t="shared" si="22"/>
        <v>212951179</v>
      </c>
    </row>
    <row r="40" spans="1:11" ht="15" x14ac:dyDescent="0.25">
      <c r="A40" s="102" t="s">
        <v>65</v>
      </c>
      <c r="B40" s="100"/>
      <c r="C40" s="111"/>
      <c r="D40" s="96"/>
      <c r="E40" s="1325"/>
      <c r="F40" s="1333"/>
      <c r="G40" s="1462"/>
      <c r="H40" s="1465"/>
      <c r="I40" s="1338"/>
      <c r="J40" s="1468"/>
      <c r="K40" s="1626"/>
    </row>
    <row r="41" spans="1:11" ht="15" x14ac:dyDescent="0.25">
      <c r="A41" s="97" t="s">
        <v>307</v>
      </c>
      <c r="B41" s="100"/>
      <c r="C41" s="111"/>
      <c r="D41" s="96"/>
      <c r="E41" s="1325"/>
      <c r="F41" s="1333"/>
      <c r="G41" s="1462"/>
      <c r="H41" s="1465"/>
      <c r="I41" s="1338"/>
      <c r="J41" s="1468"/>
      <c r="K41" s="1626"/>
    </row>
    <row r="42" spans="1:11" ht="15" x14ac:dyDescent="0.25">
      <c r="A42" s="97" t="s">
        <v>306</v>
      </c>
      <c r="B42" s="99"/>
      <c r="C42" s="111"/>
      <c r="D42" s="96"/>
      <c r="E42" s="1324"/>
      <c r="F42" s="104"/>
      <c r="G42" s="1324"/>
      <c r="H42" s="1472"/>
      <c r="I42" s="667"/>
      <c r="J42" s="1472"/>
      <c r="K42" s="667"/>
    </row>
    <row r="43" spans="1:11" ht="15" x14ac:dyDescent="0.25">
      <c r="A43" s="102" t="s">
        <v>66</v>
      </c>
      <c r="B43" s="99"/>
      <c r="C43" s="111"/>
      <c r="D43" s="96"/>
      <c r="E43" s="1324">
        <f>E44+E45+E47+E48+E50+E51+E49+E56</f>
        <v>109193010</v>
      </c>
      <c r="F43" s="104">
        <f>F44+F45+F47+F48+F50+F51+F49+F56</f>
        <v>-8679780</v>
      </c>
      <c r="G43" s="1324">
        <f>G44+G45+G47+G48+G50+G51+G49+G56</f>
        <v>100513230</v>
      </c>
      <c r="H43" s="1537">
        <f>H44+H45+H47+H48+H50+H51+H49+H56+H46+H55</f>
        <v>7759300</v>
      </c>
      <c r="I43" s="667">
        <f>I44+I45+I47+I48+I50+I51+I49+I56+I46+I55</f>
        <v>108272530</v>
      </c>
      <c r="J43" s="1537">
        <f>J44+J45+J47+J48+J50+J51+J49+J56+J46+J55</f>
        <v>-457520</v>
      </c>
      <c r="K43" s="667">
        <f>K44+K45+K47+K48+K50+K51+K49+K56+K46+K55</f>
        <v>107815010</v>
      </c>
    </row>
    <row r="44" spans="1:11" x14ac:dyDescent="0.2">
      <c r="A44" s="285" t="s">
        <v>351</v>
      </c>
      <c r="B44" s="99"/>
      <c r="C44" s="111">
        <f>E44/D44</f>
        <v>7.6</v>
      </c>
      <c r="D44" s="638">
        <v>3400000</v>
      </c>
      <c r="E44" s="1328">
        <v>25840000</v>
      </c>
      <c r="F44" s="1333">
        <v>2132000</v>
      </c>
      <c r="G44" s="1461">
        <f>E44+F44</f>
        <v>27972000</v>
      </c>
      <c r="H44" s="1465"/>
      <c r="I44" s="1337">
        <f>G44+H44</f>
        <v>27972000</v>
      </c>
      <c r="J44" s="1468"/>
      <c r="K44" s="282">
        <f>I44+J44</f>
        <v>27972000</v>
      </c>
    </row>
    <row r="45" spans="1:11" x14ac:dyDescent="0.2">
      <c r="A45" s="285" t="s">
        <v>352</v>
      </c>
      <c r="B45" s="99"/>
      <c r="C45" s="111">
        <v>4.7</v>
      </c>
      <c r="D45" s="638">
        <v>3300000</v>
      </c>
      <c r="E45" s="1328">
        <v>15510000</v>
      </c>
      <c r="F45" s="1333"/>
      <c r="G45" s="1461">
        <f t="shared" ref="G45:G65" si="23">E45+F45</f>
        <v>15510000</v>
      </c>
      <c r="H45" s="1465"/>
      <c r="I45" s="1337">
        <f t="shared" ref="I45:I66" si="24">G45+H45</f>
        <v>15510000</v>
      </c>
      <c r="J45" s="1468"/>
      <c r="K45" s="282">
        <f t="shared" ref="K45:K66" si="25">I45+J45</f>
        <v>15510000</v>
      </c>
    </row>
    <row r="46" spans="1:11" x14ac:dyDescent="0.2">
      <c r="A46" s="97" t="s">
        <v>1025</v>
      </c>
      <c r="B46" s="99"/>
      <c r="C46" s="111"/>
      <c r="D46" s="638"/>
      <c r="E46" s="1328"/>
      <c r="F46" s="1333"/>
      <c r="G46" s="1461"/>
      <c r="H46" s="1465">
        <v>4013000</v>
      </c>
      <c r="I46" s="1337">
        <f t="shared" si="24"/>
        <v>4013000</v>
      </c>
      <c r="J46" s="1468"/>
      <c r="K46" s="282">
        <f t="shared" si="25"/>
        <v>4013000</v>
      </c>
    </row>
    <row r="47" spans="1:11" x14ac:dyDescent="0.2">
      <c r="A47" s="97" t="s">
        <v>70</v>
      </c>
      <c r="B47" s="99">
        <v>79</v>
      </c>
      <c r="C47" s="111">
        <v>79</v>
      </c>
      <c r="D47" s="96">
        <v>65360</v>
      </c>
      <c r="E47" s="1325">
        <f>C47*D47</f>
        <v>5163440</v>
      </c>
      <c r="F47" s="1333"/>
      <c r="G47" s="1461">
        <f t="shared" si="23"/>
        <v>5163440</v>
      </c>
      <c r="H47" s="1465"/>
      <c r="I47" s="1337">
        <f t="shared" si="24"/>
        <v>5163440</v>
      </c>
      <c r="J47" s="1468">
        <v>-457520</v>
      </c>
      <c r="K47" s="282">
        <f t="shared" si="25"/>
        <v>4705920</v>
      </c>
    </row>
    <row r="48" spans="1:11" x14ac:dyDescent="0.2">
      <c r="A48" s="97" t="s">
        <v>455</v>
      </c>
      <c r="B48" s="99">
        <v>2</v>
      </c>
      <c r="C48" s="111">
        <v>2</v>
      </c>
      <c r="D48" s="96">
        <v>25000</v>
      </c>
      <c r="E48" s="1325">
        <f>C48*D48</f>
        <v>50000</v>
      </c>
      <c r="F48" s="1333">
        <v>-25000</v>
      </c>
      <c r="G48" s="1461">
        <f t="shared" si="23"/>
        <v>25000</v>
      </c>
      <c r="H48" s="1465"/>
      <c r="I48" s="1337">
        <f t="shared" si="24"/>
        <v>25000</v>
      </c>
      <c r="J48" s="1468"/>
      <c r="K48" s="282">
        <f t="shared" si="25"/>
        <v>25000</v>
      </c>
    </row>
    <row r="49" spans="1:11" x14ac:dyDescent="0.2">
      <c r="A49" s="97" t="s">
        <v>511</v>
      </c>
      <c r="B49" s="99">
        <v>28</v>
      </c>
      <c r="C49" s="111">
        <v>28</v>
      </c>
      <c r="D49" s="96">
        <v>429000</v>
      </c>
      <c r="E49" s="1325">
        <f>D49*C49</f>
        <v>12012000</v>
      </c>
      <c r="F49" s="1333">
        <v>-3432000</v>
      </c>
      <c r="G49" s="1461">
        <f t="shared" si="23"/>
        <v>8580000</v>
      </c>
      <c r="H49" s="1465"/>
      <c r="I49" s="1337">
        <f t="shared" si="24"/>
        <v>8580000</v>
      </c>
      <c r="J49" s="1468"/>
      <c r="K49" s="282">
        <f t="shared" si="25"/>
        <v>8580000</v>
      </c>
    </row>
    <row r="50" spans="1:11" x14ac:dyDescent="0.2">
      <c r="A50" s="113" t="s">
        <v>353</v>
      </c>
      <c r="B50" s="99">
        <v>43</v>
      </c>
      <c r="C50" s="111">
        <v>43</v>
      </c>
      <c r="D50" s="109">
        <v>285000</v>
      </c>
      <c r="E50" s="1325">
        <f>C50*D50</f>
        <v>12255000</v>
      </c>
      <c r="F50" s="1333">
        <v>-1140000</v>
      </c>
      <c r="G50" s="1461">
        <f t="shared" si="23"/>
        <v>11115000</v>
      </c>
      <c r="H50" s="1465"/>
      <c r="I50" s="1337">
        <f t="shared" si="24"/>
        <v>11115000</v>
      </c>
      <c r="J50" s="1468"/>
      <c r="K50" s="282">
        <f t="shared" si="25"/>
        <v>11115000</v>
      </c>
    </row>
    <row r="51" spans="1:11" x14ac:dyDescent="0.2">
      <c r="A51" s="285" t="s">
        <v>71</v>
      </c>
      <c r="B51" s="114"/>
      <c r="C51" s="668"/>
      <c r="D51" s="116"/>
      <c r="E51" s="1325">
        <f>E52+E53+E54</f>
        <v>25920180</v>
      </c>
      <c r="F51" s="1333">
        <v>-6214780</v>
      </c>
      <c r="G51" s="1461">
        <f t="shared" si="23"/>
        <v>19705400</v>
      </c>
      <c r="H51" s="1465"/>
      <c r="I51" s="1337">
        <f t="shared" si="24"/>
        <v>19705400</v>
      </c>
      <c r="J51" s="1468"/>
      <c r="K51" s="282">
        <f t="shared" si="25"/>
        <v>19705400</v>
      </c>
    </row>
    <row r="52" spans="1:11" x14ac:dyDescent="0.2">
      <c r="A52" s="97" t="s">
        <v>317</v>
      </c>
      <c r="B52" s="99">
        <v>20</v>
      </c>
      <c r="C52" s="111">
        <v>20</v>
      </c>
      <c r="D52" s="638">
        <v>757900</v>
      </c>
      <c r="E52" s="1325">
        <f>C52*D52</f>
        <v>15158000</v>
      </c>
      <c r="F52" s="1333">
        <v>-3789500</v>
      </c>
      <c r="G52" s="1461">
        <f t="shared" si="23"/>
        <v>11368500</v>
      </c>
      <c r="H52" s="1465"/>
      <c r="I52" s="1337">
        <f t="shared" si="24"/>
        <v>11368500</v>
      </c>
      <c r="J52" s="1468"/>
      <c r="K52" s="282">
        <f t="shared" si="25"/>
        <v>11368500</v>
      </c>
    </row>
    <row r="53" spans="1:11" ht="28.5" x14ac:dyDescent="0.2">
      <c r="A53" s="113" t="s">
        <v>73</v>
      </c>
      <c r="B53" s="99">
        <v>17</v>
      </c>
      <c r="C53" s="111">
        <v>17</v>
      </c>
      <c r="D53" s="638">
        <v>454740</v>
      </c>
      <c r="E53" s="1325">
        <f>C53*D53</f>
        <v>7730580</v>
      </c>
      <c r="F53" s="1333">
        <v>-909480</v>
      </c>
      <c r="G53" s="1461">
        <f t="shared" si="23"/>
        <v>6821100</v>
      </c>
      <c r="H53" s="1465"/>
      <c r="I53" s="1337">
        <f t="shared" si="24"/>
        <v>6821100</v>
      </c>
      <c r="J53" s="1468"/>
      <c r="K53" s="282">
        <f t="shared" si="25"/>
        <v>6821100</v>
      </c>
    </row>
    <row r="54" spans="1:11" x14ac:dyDescent="0.2">
      <c r="A54" s="110" t="s">
        <v>659</v>
      </c>
      <c r="B54" s="99">
        <v>4</v>
      </c>
      <c r="C54" s="111">
        <v>4</v>
      </c>
      <c r="D54" s="638">
        <v>757900</v>
      </c>
      <c r="E54" s="1325">
        <f>C54*D54</f>
        <v>3031600</v>
      </c>
      <c r="F54" s="1333">
        <v>-1515800</v>
      </c>
      <c r="G54" s="1461">
        <f t="shared" si="23"/>
        <v>1515800</v>
      </c>
      <c r="H54" s="1465"/>
      <c r="I54" s="1337">
        <f t="shared" si="24"/>
        <v>1515800</v>
      </c>
      <c r="J54" s="1468"/>
      <c r="K54" s="282">
        <f t="shared" si="25"/>
        <v>1515800</v>
      </c>
    </row>
    <row r="55" spans="1:11" x14ac:dyDescent="0.2">
      <c r="A55" s="110" t="s">
        <v>1026</v>
      </c>
      <c r="B55" s="99"/>
      <c r="C55" s="111"/>
      <c r="D55" s="688"/>
      <c r="E55" s="1325"/>
      <c r="F55" s="1333"/>
      <c r="G55" s="1461"/>
      <c r="H55" s="1465">
        <v>3746300</v>
      </c>
      <c r="I55" s="1337">
        <f t="shared" si="24"/>
        <v>3746300</v>
      </c>
      <c r="J55" s="1468"/>
      <c r="K55" s="282">
        <f t="shared" si="25"/>
        <v>3746300</v>
      </c>
    </row>
    <row r="56" spans="1:11" x14ac:dyDescent="0.2">
      <c r="A56" s="110" t="s">
        <v>528</v>
      </c>
      <c r="B56" s="99"/>
      <c r="C56" s="111"/>
      <c r="D56" s="96"/>
      <c r="E56" s="1325">
        <v>12442390</v>
      </c>
      <c r="F56" s="1333"/>
      <c r="G56" s="1461">
        <f t="shared" si="23"/>
        <v>12442390</v>
      </c>
      <c r="H56" s="1465"/>
      <c r="I56" s="1337">
        <f t="shared" si="24"/>
        <v>12442390</v>
      </c>
      <c r="J56" s="1468"/>
      <c r="K56" s="282">
        <f t="shared" si="25"/>
        <v>12442390</v>
      </c>
    </row>
    <row r="57" spans="1:11" ht="15" x14ac:dyDescent="0.25">
      <c r="A57" s="102" t="s">
        <v>74</v>
      </c>
      <c r="B57" s="100"/>
      <c r="C57" s="117"/>
      <c r="D57" s="104"/>
      <c r="E57" s="1324">
        <f>E58+E59+E60</f>
        <v>80567795</v>
      </c>
      <c r="F57" s="104">
        <f>F58+F59+F60</f>
        <v>-21617596</v>
      </c>
      <c r="G57" s="1329">
        <f t="shared" si="23"/>
        <v>58950199</v>
      </c>
      <c r="H57" s="1522">
        <f>H58+H59+H60+H61</f>
        <v>3013120</v>
      </c>
      <c r="I57" s="1523">
        <f t="shared" si="24"/>
        <v>61963319</v>
      </c>
      <c r="J57" s="1522">
        <f>J58+J59+J60+J61</f>
        <v>-82650</v>
      </c>
      <c r="K57" s="1523">
        <f t="shared" si="25"/>
        <v>61880669</v>
      </c>
    </row>
    <row r="58" spans="1:11" x14ac:dyDescent="0.2">
      <c r="A58" s="97" t="s">
        <v>75</v>
      </c>
      <c r="B58" s="99"/>
      <c r="C58" s="111">
        <v>23.9</v>
      </c>
      <c r="D58" s="96">
        <v>2200000</v>
      </c>
      <c r="E58" s="1325">
        <f>C58*D58</f>
        <v>52580000</v>
      </c>
      <c r="F58" s="1333">
        <v>-14916000</v>
      </c>
      <c r="G58" s="1461">
        <f t="shared" si="23"/>
        <v>37664000</v>
      </c>
      <c r="H58" s="1465"/>
      <c r="I58" s="1337">
        <f t="shared" si="24"/>
        <v>37664000</v>
      </c>
      <c r="J58" s="1468"/>
      <c r="K58" s="282">
        <f t="shared" si="25"/>
        <v>37664000</v>
      </c>
    </row>
    <row r="59" spans="1:11" x14ac:dyDescent="0.2">
      <c r="A59" s="97" t="s">
        <v>76</v>
      </c>
      <c r="B59" s="99"/>
      <c r="C59" s="111">
        <v>1043</v>
      </c>
      <c r="D59" s="96"/>
      <c r="E59" s="689">
        <v>27819645</v>
      </c>
      <c r="F59" s="1333">
        <v>-6701596</v>
      </c>
      <c r="G59" s="1461">
        <f t="shared" si="23"/>
        <v>21118049</v>
      </c>
      <c r="H59" s="1465"/>
      <c r="I59" s="1337">
        <f t="shared" si="24"/>
        <v>21118049</v>
      </c>
      <c r="J59" s="1468"/>
      <c r="K59" s="282">
        <f t="shared" si="25"/>
        <v>21118049</v>
      </c>
    </row>
    <row r="60" spans="1:11" ht="15" x14ac:dyDescent="0.25">
      <c r="A60" s="97" t="s">
        <v>354</v>
      </c>
      <c r="B60" s="100"/>
      <c r="C60" s="111">
        <v>590</v>
      </c>
      <c r="D60" s="96">
        <v>285</v>
      </c>
      <c r="E60" s="1325">
        <f>C60*D60</f>
        <v>168150</v>
      </c>
      <c r="F60" s="1333"/>
      <c r="G60" s="1461">
        <f t="shared" si="23"/>
        <v>168150</v>
      </c>
      <c r="H60" s="1465"/>
      <c r="I60" s="1337">
        <f t="shared" si="24"/>
        <v>168150</v>
      </c>
      <c r="J60" s="1468">
        <v>-82650</v>
      </c>
      <c r="K60" s="282">
        <f t="shared" si="25"/>
        <v>85500</v>
      </c>
    </row>
    <row r="61" spans="1:11" ht="15" x14ac:dyDescent="0.25">
      <c r="A61" s="97" t="s">
        <v>1024</v>
      </c>
      <c r="B61" s="100"/>
      <c r="C61" s="111"/>
      <c r="D61" s="96"/>
      <c r="E61" s="1325"/>
      <c r="F61" s="1333"/>
      <c r="G61" s="1461"/>
      <c r="H61" s="1465">
        <v>3013120</v>
      </c>
      <c r="I61" s="1337">
        <f t="shared" si="24"/>
        <v>3013120</v>
      </c>
      <c r="J61" s="1468"/>
      <c r="K61" s="282">
        <f t="shared" si="25"/>
        <v>3013120</v>
      </c>
    </row>
    <row r="62" spans="1:11" ht="15" x14ac:dyDescent="0.25">
      <c r="A62" s="102" t="s">
        <v>529</v>
      </c>
      <c r="B62" s="100"/>
      <c r="C62" s="117"/>
      <c r="D62" s="104"/>
      <c r="E62" s="1324">
        <f>E64+E65+E63</f>
        <v>41239500</v>
      </c>
      <c r="F62" s="104">
        <f>F64+F65+F63</f>
        <v>-2107000</v>
      </c>
      <c r="G62" s="1329">
        <f t="shared" si="23"/>
        <v>39132500</v>
      </c>
      <c r="H62" s="1522">
        <f>H63+H64+H65+H66+H67+H68</f>
        <v>4123000</v>
      </c>
      <c r="I62" s="1523">
        <f t="shared" si="24"/>
        <v>43255500</v>
      </c>
      <c r="J62" s="1522">
        <f>J63+J64+J65+J66+J67+J68</f>
        <v>0</v>
      </c>
      <c r="K62" s="1523">
        <f t="shared" si="25"/>
        <v>43255500</v>
      </c>
    </row>
    <row r="63" spans="1:11" ht="29.25" x14ac:dyDescent="0.25">
      <c r="A63" s="113" t="s">
        <v>466</v>
      </c>
      <c r="B63" s="100"/>
      <c r="C63" s="111">
        <v>3</v>
      </c>
      <c r="D63" s="640">
        <v>4419000</v>
      </c>
      <c r="E63" s="1325">
        <f>C63*D63</f>
        <v>13257000</v>
      </c>
      <c r="F63" s="1333"/>
      <c r="G63" s="1461">
        <f t="shared" si="23"/>
        <v>13257000</v>
      </c>
      <c r="H63" s="1465"/>
      <c r="I63" s="1337">
        <f t="shared" ref="I63:I65" si="26">G63+H63</f>
        <v>13257000</v>
      </c>
      <c r="J63" s="1468"/>
      <c r="K63" s="282">
        <f t="shared" si="25"/>
        <v>13257000</v>
      </c>
    </row>
    <row r="64" spans="1:11" ht="29.25" x14ac:dyDescent="0.25">
      <c r="A64" s="113" t="s">
        <v>467</v>
      </c>
      <c r="B64" s="100"/>
      <c r="C64" s="111">
        <v>5.5</v>
      </c>
      <c r="D64" s="689">
        <v>2993000</v>
      </c>
      <c r="E64" s="1325">
        <f>C64*D64</f>
        <v>16461500</v>
      </c>
      <c r="F64" s="1333"/>
      <c r="G64" s="1461">
        <f t="shared" si="23"/>
        <v>16461500</v>
      </c>
      <c r="H64" s="1465"/>
      <c r="I64" s="1337">
        <f t="shared" si="26"/>
        <v>16461500</v>
      </c>
      <c r="J64" s="1468"/>
      <c r="K64" s="282">
        <f t="shared" si="25"/>
        <v>16461500</v>
      </c>
    </row>
    <row r="65" spans="1:13" ht="15" x14ac:dyDescent="0.25">
      <c r="A65" s="97" t="s">
        <v>530</v>
      </c>
      <c r="B65" s="100"/>
      <c r="C65" s="111"/>
      <c r="D65" s="96"/>
      <c r="E65" s="640">
        <v>11521000</v>
      </c>
      <c r="F65" s="1333">
        <v>-2107000</v>
      </c>
      <c r="G65" s="1461">
        <f t="shared" si="23"/>
        <v>9414000</v>
      </c>
      <c r="H65" s="1465"/>
      <c r="I65" s="1337">
        <f t="shared" si="26"/>
        <v>9414000</v>
      </c>
      <c r="J65" s="1468"/>
      <c r="K65" s="282">
        <f t="shared" si="25"/>
        <v>9414000</v>
      </c>
    </row>
    <row r="66" spans="1:13" x14ac:dyDescent="0.2">
      <c r="A66" s="113" t="s">
        <v>531</v>
      </c>
      <c r="B66" s="99"/>
      <c r="C66" s="111"/>
      <c r="D66" s="96"/>
      <c r="E66" s="640"/>
      <c r="F66" s="1333"/>
      <c r="G66" s="1461">
        <f t="shared" ref="G66" si="27">E66+F66</f>
        <v>0</v>
      </c>
      <c r="H66" s="1465"/>
      <c r="I66" s="1337">
        <f t="shared" si="24"/>
        <v>0</v>
      </c>
      <c r="J66" s="1468"/>
      <c r="K66" s="282">
        <f t="shared" si="25"/>
        <v>0</v>
      </c>
    </row>
    <row r="67" spans="1:13" x14ac:dyDescent="0.2">
      <c r="A67" s="113" t="s">
        <v>1028</v>
      </c>
      <c r="B67" s="99"/>
      <c r="C67" s="111"/>
      <c r="D67" s="96"/>
      <c r="E67" s="689"/>
      <c r="F67" s="1333"/>
      <c r="G67" s="1461"/>
      <c r="H67" s="1465">
        <v>1252000</v>
      </c>
      <c r="I67" s="1337">
        <f>H67+G67</f>
        <v>1252000</v>
      </c>
      <c r="J67" s="1468"/>
      <c r="K67" s="282">
        <f>J67+I67</f>
        <v>1252000</v>
      </c>
    </row>
    <row r="68" spans="1:13" x14ac:dyDescent="0.2">
      <c r="A68" s="97" t="s">
        <v>1030</v>
      </c>
      <c r="B68" s="99"/>
      <c r="C68" s="111"/>
      <c r="D68" s="96"/>
      <c r="E68" s="1321"/>
      <c r="F68" s="1333"/>
      <c r="G68" s="1461">
        <f t="shared" ref="G68:I74" si="28">E68+F68</f>
        <v>0</v>
      </c>
      <c r="H68" s="1465">
        <v>2871000</v>
      </c>
      <c r="I68" s="1337">
        <f t="shared" si="28"/>
        <v>2871000</v>
      </c>
      <c r="J68" s="1468"/>
      <c r="K68" s="282">
        <f t="shared" ref="K68" si="29">I68+J68</f>
        <v>2871000</v>
      </c>
    </row>
    <row r="69" spans="1:13" x14ac:dyDescent="0.2">
      <c r="A69" s="97"/>
      <c r="B69" s="99"/>
      <c r="C69" s="111"/>
      <c r="D69" s="96"/>
      <c r="E69" s="1321"/>
      <c r="F69" s="1333"/>
      <c r="G69" s="1461"/>
      <c r="H69" s="1465"/>
      <c r="I69" s="1337"/>
      <c r="J69" s="1468"/>
      <c r="K69" s="282"/>
    </row>
    <row r="70" spans="1:13" ht="15" x14ac:dyDescent="0.25">
      <c r="A70" s="286" t="s">
        <v>79</v>
      </c>
      <c r="B70" s="280"/>
      <c r="C70" s="669"/>
      <c r="D70" s="280"/>
      <c r="E70" s="1323">
        <f>E71</f>
        <v>17059887</v>
      </c>
      <c r="F70" s="1335"/>
      <c r="G70" s="1517">
        <f t="shared" si="28"/>
        <v>17059887</v>
      </c>
      <c r="H70" s="1520">
        <f>H71+H72+H73+H74</f>
        <v>5863910</v>
      </c>
      <c r="I70" s="1521">
        <f t="shared" si="28"/>
        <v>22923797</v>
      </c>
      <c r="J70" s="1522">
        <f>J71+J72+J73+J74</f>
        <v>0</v>
      </c>
      <c r="K70" s="1523">
        <f t="shared" ref="K70:K74" si="30">I70+J70</f>
        <v>22923797</v>
      </c>
    </row>
    <row r="71" spans="1:13" x14ac:dyDescent="0.2">
      <c r="A71" s="287" t="s">
        <v>80</v>
      </c>
      <c r="B71" s="108"/>
      <c r="C71" s="111">
        <f>E71/D71</f>
        <v>13637</v>
      </c>
      <c r="D71" s="96">
        <v>1251</v>
      </c>
      <c r="E71" s="688">
        <v>17059887</v>
      </c>
      <c r="F71" s="1333"/>
      <c r="G71" s="1461">
        <f t="shared" si="28"/>
        <v>17059887</v>
      </c>
      <c r="H71" s="1465"/>
      <c r="I71" s="1337">
        <f t="shared" si="28"/>
        <v>17059887</v>
      </c>
      <c r="J71" s="1468"/>
      <c r="K71" s="282">
        <f t="shared" si="30"/>
        <v>17059887</v>
      </c>
    </row>
    <row r="72" spans="1:13" x14ac:dyDescent="0.2">
      <c r="A72" s="110" t="s">
        <v>532</v>
      </c>
      <c r="B72" s="108"/>
      <c r="C72" s="111"/>
      <c r="D72" s="96"/>
      <c r="E72" s="1321"/>
      <c r="F72" s="1333"/>
      <c r="G72" s="1462"/>
      <c r="H72" s="1465"/>
      <c r="I72" s="1337">
        <f t="shared" si="28"/>
        <v>0</v>
      </c>
      <c r="J72" s="1468"/>
      <c r="K72" s="282">
        <f t="shared" si="30"/>
        <v>0</v>
      </c>
    </row>
    <row r="73" spans="1:13" x14ac:dyDescent="0.2">
      <c r="A73" s="110" t="s">
        <v>369</v>
      </c>
      <c r="B73" s="108"/>
      <c r="C73" s="111"/>
      <c r="D73" s="96"/>
      <c r="E73" s="1321"/>
      <c r="F73" s="1333"/>
      <c r="G73" s="1462"/>
      <c r="H73" s="1465"/>
      <c r="I73" s="1337">
        <f t="shared" si="28"/>
        <v>0</v>
      </c>
      <c r="J73" s="1468"/>
      <c r="K73" s="282">
        <f t="shared" si="30"/>
        <v>0</v>
      </c>
    </row>
    <row r="74" spans="1:13" x14ac:dyDescent="0.2">
      <c r="A74" s="287" t="s">
        <v>1027</v>
      </c>
      <c r="B74" s="108"/>
      <c r="C74" s="111"/>
      <c r="D74" s="96"/>
      <c r="E74" s="1321"/>
      <c r="F74" s="1333"/>
      <c r="G74" s="1462"/>
      <c r="H74" s="1465">
        <v>5863910</v>
      </c>
      <c r="I74" s="1337">
        <f t="shared" si="28"/>
        <v>5863910</v>
      </c>
      <c r="J74" s="1468"/>
      <c r="K74" s="282">
        <f t="shared" si="30"/>
        <v>5863910</v>
      </c>
    </row>
    <row r="75" spans="1:13" x14ac:dyDescent="0.2">
      <c r="A75" s="110"/>
      <c r="B75" s="108"/>
      <c r="C75" s="111"/>
      <c r="D75" s="96"/>
      <c r="E75" s="1321"/>
      <c r="F75" s="1333"/>
      <c r="G75" s="1462"/>
      <c r="H75" s="1465"/>
      <c r="I75" s="1338"/>
      <c r="J75" s="1468"/>
      <c r="K75" s="1626"/>
    </row>
    <row r="76" spans="1:13" ht="15" x14ac:dyDescent="0.25">
      <c r="A76" s="284" t="s">
        <v>336</v>
      </c>
      <c r="B76" s="103"/>
      <c r="C76" s="117"/>
      <c r="D76" s="104"/>
      <c r="E76" s="1323">
        <f>SUM(E77:E82)</f>
        <v>0</v>
      </c>
      <c r="F76" s="1334">
        <f t="shared" ref="F76:G76" si="31">SUM(F77:F82)</f>
        <v>20269925</v>
      </c>
      <c r="G76" s="1323">
        <f t="shared" si="31"/>
        <v>20269925</v>
      </c>
      <c r="H76" s="1473">
        <f>H77+H78+H79+H80+H81+H82+H83</f>
        <v>281982288</v>
      </c>
      <c r="I76" s="666">
        <f>SUM(I77:I83)</f>
        <v>302252213</v>
      </c>
      <c r="J76" s="1473">
        <f>J77+J78+J79+J80+J81+J82+J83</f>
        <v>4257071</v>
      </c>
      <c r="K76" s="666">
        <f>SUM(K77:K83)</f>
        <v>306509284</v>
      </c>
    </row>
    <row r="77" spans="1:13" ht="15" x14ac:dyDescent="0.25">
      <c r="A77" s="107" t="s">
        <v>991</v>
      </c>
      <c r="B77" s="103"/>
      <c r="C77" s="117"/>
      <c r="D77" s="104"/>
      <c r="E77" s="1323"/>
      <c r="F77" s="638">
        <v>1201800</v>
      </c>
      <c r="G77" s="1461">
        <f>F77+E77</f>
        <v>1201800</v>
      </c>
      <c r="H77" s="1465">
        <f>357664+176831</f>
        <v>534495</v>
      </c>
      <c r="I77" s="1337">
        <f>H77+G77</f>
        <v>1736295</v>
      </c>
      <c r="J77" s="1468">
        <v>511326</v>
      </c>
      <c r="K77" s="282">
        <f>J77+I77</f>
        <v>2247621</v>
      </c>
      <c r="M77" s="639"/>
    </row>
    <row r="78" spans="1:13" ht="15" x14ac:dyDescent="0.25">
      <c r="A78" s="107" t="s">
        <v>532</v>
      </c>
      <c r="B78" s="103"/>
      <c r="C78" s="117"/>
      <c r="D78" s="104"/>
      <c r="E78" s="1323"/>
      <c r="F78" s="638">
        <v>1755855</v>
      </c>
      <c r="G78" s="1461">
        <f t="shared" ref="G78:I81" si="32">F78+E78</f>
        <v>1755855</v>
      </c>
      <c r="H78" s="1465">
        <f>579715+300993</f>
        <v>880708</v>
      </c>
      <c r="I78" s="1337">
        <f t="shared" si="32"/>
        <v>2636563</v>
      </c>
      <c r="J78" s="1468">
        <v>870707</v>
      </c>
      <c r="K78" s="282">
        <f t="shared" ref="K78:K79" si="33">J78+I78</f>
        <v>3507270</v>
      </c>
    </row>
    <row r="79" spans="1:13" ht="15" x14ac:dyDescent="0.25">
      <c r="A79" s="110" t="s">
        <v>369</v>
      </c>
      <c r="B79" s="103"/>
      <c r="C79" s="117"/>
      <c r="D79" s="104"/>
      <c r="E79" s="1323"/>
      <c r="F79" s="638">
        <v>1278000</v>
      </c>
      <c r="G79" s="1461">
        <f t="shared" si="32"/>
        <v>1278000</v>
      </c>
      <c r="H79" s="1465"/>
      <c r="I79" s="1337">
        <f t="shared" si="32"/>
        <v>1278000</v>
      </c>
      <c r="J79" s="1468"/>
      <c r="K79" s="282">
        <f t="shared" si="33"/>
        <v>1278000</v>
      </c>
      <c r="M79" s="639"/>
    </row>
    <row r="80" spans="1:13" ht="15" x14ac:dyDescent="0.25">
      <c r="A80" s="113" t="s">
        <v>531</v>
      </c>
      <c r="B80" s="103"/>
      <c r="C80" s="117"/>
      <c r="D80" s="104"/>
      <c r="E80" s="1323"/>
      <c r="F80" s="638">
        <v>16034270</v>
      </c>
      <c r="G80" s="1461">
        <f t="shared" si="32"/>
        <v>16034270</v>
      </c>
      <c r="H80" s="1465">
        <f>5620003+2664692</f>
        <v>8284695</v>
      </c>
      <c r="I80" s="1337">
        <f>H80+G80</f>
        <v>24318965</v>
      </c>
      <c r="J80" s="1468">
        <v>8561858</v>
      </c>
      <c r="K80" s="282">
        <f>J80+I80</f>
        <v>32880823</v>
      </c>
      <c r="M80" s="639"/>
    </row>
    <row r="81" spans="1:11" s="152" customFormat="1" x14ac:dyDescent="0.2">
      <c r="A81" s="110" t="s">
        <v>533</v>
      </c>
      <c r="B81" s="108"/>
      <c r="C81" s="111"/>
      <c r="D81" s="96"/>
      <c r="E81" s="1321"/>
      <c r="F81" s="1335"/>
      <c r="G81" s="1461">
        <f t="shared" si="32"/>
        <v>0</v>
      </c>
      <c r="H81" s="1465"/>
      <c r="I81" s="1337">
        <f t="shared" si="32"/>
        <v>0</v>
      </c>
      <c r="J81" s="1468">
        <v>17278800</v>
      </c>
      <c r="K81" s="282">
        <f t="shared" ref="K81" si="34">J81+I81</f>
        <v>17278800</v>
      </c>
    </row>
    <row r="82" spans="1:11" s="152" customFormat="1" ht="15" x14ac:dyDescent="0.25">
      <c r="A82" s="110" t="s">
        <v>166</v>
      </c>
      <c r="B82" s="108"/>
      <c r="C82" s="111"/>
      <c r="D82" s="96"/>
      <c r="E82" s="1321"/>
      <c r="F82" s="1335"/>
      <c r="G82" s="1463"/>
      <c r="H82" s="1520"/>
      <c r="I82" s="1339"/>
      <c r="J82" s="1522"/>
      <c r="K82" s="1627"/>
    </row>
    <row r="83" spans="1:11" s="152" customFormat="1" x14ac:dyDescent="0.2">
      <c r="A83" s="110" t="s">
        <v>1029</v>
      </c>
      <c r="B83" s="108"/>
      <c r="C83" s="111"/>
      <c r="D83" s="96"/>
      <c r="E83" s="1321"/>
      <c r="F83" s="1335"/>
      <c r="G83" s="1463"/>
      <c r="H83" s="1518">
        <f>28282390+244000000</f>
        <v>272282390</v>
      </c>
      <c r="I83" s="1519">
        <f>G83+H83</f>
        <v>272282390</v>
      </c>
      <c r="J83" s="1468">
        <v>-22965620</v>
      </c>
      <c r="K83" s="282">
        <f>I83+J83</f>
        <v>249316770</v>
      </c>
    </row>
    <row r="84" spans="1:11" x14ac:dyDescent="0.2">
      <c r="A84" s="110"/>
      <c r="B84" s="108"/>
      <c r="C84" s="111"/>
      <c r="D84" s="96"/>
      <c r="E84" s="1321"/>
      <c r="F84" s="1333"/>
      <c r="G84" s="1462"/>
      <c r="H84" s="1465"/>
      <c r="I84" s="1338"/>
      <c r="J84" s="1468"/>
      <c r="K84" s="1626"/>
    </row>
    <row r="85" spans="1:11" ht="15" x14ac:dyDescent="0.25">
      <c r="A85" s="284" t="s">
        <v>334</v>
      </c>
      <c r="B85" s="103"/>
      <c r="C85" s="117"/>
      <c r="D85" s="104"/>
      <c r="E85" s="1323"/>
      <c r="F85" s="1333"/>
      <c r="G85" s="1462"/>
      <c r="H85" s="1465"/>
      <c r="I85" s="1338"/>
      <c r="J85" s="1468"/>
      <c r="K85" s="1626"/>
    </row>
    <row r="86" spans="1:11" ht="15" x14ac:dyDescent="0.25">
      <c r="A86" s="284"/>
      <c r="B86" s="103"/>
      <c r="C86" s="117"/>
      <c r="D86" s="104"/>
      <c r="E86" s="1323"/>
      <c r="F86" s="1333"/>
      <c r="G86" s="1462"/>
      <c r="H86" s="1465"/>
      <c r="I86" s="1338"/>
      <c r="J86" s="1468"/>
      <c r="K86" s="1626"/>
    </row>
    <row r="87" spans="1:11" s="152" customFormat="1" ht="15" x14ac:dyDescent="0.25">
      <c r="A87" s="284"/>
      <c r="B87" s="103"/>
      <c r="C87" s="117"/>
      <c r="D87" s="104"/>
      <c r="E87" s="1323"/>
      <c r="F87" s="1335"/>
      <c r="G87" s="1463"/>
      <c r="H87" s="1520"/>
      <c r="I87" s="1339"/>
      <c r="J87" s="1522"/>
      <c r="K87" s="1627"/>
    </row>
    <row r="88" spans="1:11" s="152" customFormat="1" ht="15" x14ac:dyDescent="0.25">
      <c r="A88" s="284" t="s">
        <v>169</v>
      </c>
      <c r="B88" s="103"/>
      <c r="C88" s="117"/>
      <c r="D88" s="104"/>
      <c r="E88" s="1329">
        <f>SUM(E89:E89)</f>
        <v>0</v>
      </c>
      <c r="F88" s="1335"/>
      <c r="G88" s="1463"/>
      <c r="H88" s="1520"/>
      <c r="I88" s="1339"/>
      <c r="J88" s="1522">
        <f>J89+J90+J91</f>
        <v>43215050</v>
      </c>
      <c r="K88" s="1523">
        <f>I88+J88</f>
        <v>43215050</v>
      </c>
    </row>
    <row r="89" spans="1:11" s="152" customFormat="1" ht="15" x14ac:dyDescent="0.25">
      <c r="A89" s="110" t="s">
        <v>1115</v>
      </c>
      <c r="B89" s="103"/>
      <c r="C89" s="117"/>
      <c r="D89" s="104"/>
      <c r="E89" s="1321"/>
      <c r="F89" s="1335"/>
      <c r="G89" s="1463"/>
      <c r="H89" s="1520"/>
      <c r="I89" s="1339"/>
      <c r="J89" s="1468">
        <v>39999050</v>
      </c>
      <c r="K89" s="1523">
        <f>I89+J89</f>
        <v>39999050</v>
      </c>
    </row>
    <row r="90" spans="1:11" s="152" customFormat="1" x14ac:dyDescent="0.2">
      <c r="A90" s="110" t="s">
        <v>655</v>
      </c>
      <c r="B90" s="108"/>
      <c r="C90" s="111"/>
      <c r="D90" s="96"/>
      <c r="E90" s="1321"/>
      <c r="F90" s="1335"/>
      <c r="G90" s="1463"/>
      <c r="H90" s="1520"/>
      <c r="I90" s="1339"/>
      <c r="J90" s="1468">
        <v>216000</v>
      </c>
      <c r="K90" s="282">
        <f>I90+J90</f>
        <v>216000</v>
      </c>
    </row>
    <row r="91" spans="1:11" s="152" customFormat="1" x14ac:dyDescent="0.2">
      <c r="A91" s="670" t="s">
        <v>1116</v>
      </c>
      <c r="B91" s="108"/>
      <c r="C91" s="111"/>
      <c r="D91" s="96"/>
      <c r="E91" s="1321"/>
      <c r="F91" s="1335"/>
      <c r="G91" s="1463"/>
      <c r="H91" s="1520"/>
      <c r="I91" s="1339"/>
      <c r="J91" s="1468">
        <v>3000000</v>
      </c>
      <c r="K91" s="282">
        <f>I91+J91</f>
        <v>3000000</v>
      </c>
    </row>
    <row r="92" spans="1:11" s="94" customFormat="1" x14ac:dyDescent="0.2">
      <c r="A92" s="287"/>
      <c r="B92" s="108"/>
      <c r="C92" s="111"/>
      <c r="D92" s="96"/>
      <c r="E92" s="1321"/>
      <c r="F92" s="1336"/>
      <c r="G92" s="1464"/>
      <c r="H92" s="1518"/>
      <c r="I92" s="1340"/>
      <c r="J92" s="1468"/>
      <c r="K92" s="1626"/>
    </row>
    <row r="93" spans="1:11" s="94" customFormat="1" ht="15.75" thickBot="1" x14ac:dyDescent="0.3">
      <c r="A93" s="288" t="s">
        <v>83</v>
      </c>
      <c r="B93" s="289"/>
      <c r="C93" s="671"/>
      <c r="D93" s="289"/>
      <c r="E93" s="1330">
        <f>E70+E39+E30+E5+E88+E76</f>
        <v>756675664</v>
      </c>
      <c r="F93" s="1341">
        <f>F70+F39+F30+F5+F88+F76</f>
        <v>-191021968</v>
      </c>
      <c r="G93" s="1330">
        <f>G70+G39+G30+G5+G88+G76</f>
        <v>565653696</v>
      </c>
      <c r="H93" s="1538">
        <f>H70+H39+H31+H5+H88+H76</f>
        <v>322013169</v>
      </c>
      <c r="I93" s="1539">
        <f>I70+I39+I31+I5+I88+I76</f>
        <v>1131376499</v>
      </c>
      <c r="J93" s="1538">
        <f>J70+J39+J31+J5+J88+J76</f>
        <v>53325781</v>
      </c>
      <c r="K93" s="1539">
        <f>K70+K39+K31+K5+K88+K76</f>
        <v>1184702280</v>
      </c>
    </row>
    <row r="94" spans="1:11" x14ac:dyDescent="0.2">
      <c r="J94" s="101"/>
      <c r="K94" s="483">
        <f>I93-K93</f>
        <v>-53325781</v>
      </c>
    </row>
    <row r="95" spans="1:11" x14ac:dyDescent="0.2">
      <c r="J95" s="101"/>
      <c r="K95" s="101"/>
    </row>
  </sheetData>
  <mergeCells count="12">
    <mergeCell ref="A1:E1"/>
    <mergeCell ref="A3:A4"/>
    <mergeCell ref="B3:B4"/>
    <mergeCell ref="C3:C4"/>
    <mergeCell ref="D3:D4"/>
    <mergeCell ref="E3:E4"/>
    <mergeCell ref="J3:J4"/>
    <mergeCell ref="K3:K4"/>
    <mergeCell ref="H3:H4"/>
    <mergeCell ref="I3:I4"/>
    <mergeCell ref="F3:F4"/>
    <mergeCell ref="G3:G4"/>
  </mergeCells>
  <pageMargins left="0.7" right="0.7" top="0.75" bottom="0.75" header="0.3" footer="0.3"/>
  <pageSetup paperSize="9" scale="42" orientation="portrait" r:id="rId1"/>
  <headerFooter alignWithMargins="0">
    <oddHeader>&amp;C2/b. melléklet
 az önkormányzat 2020. évi költségvetéséről szóló 6/2019. (III.06.) önkormányzati rendelethez
a 42/2020. (XII.21.) önkormányzati rendelet módosítással egységes szerkezetbe foglalva&amp;R&amp;P. oldal</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126"/>
  <sheetViews>
    <sheetView view="pageLayout" topLeftCell="H88" zoomScaleNormal="100" zoomScaleSheetLayoutView="148" workbookViewId="0">
      <selection activeCell="O4" sqref="O4:Q20"/>
    </sheetView>
  </sheetViews>
  <sheetFormatPr defaultRowHeight="14.25" x14ac:dyDescent="0.2"/>
  <cols>
    <col min="1" max="1" width="9.140625" style="101" customWidth="1"/>
    <col min="2" max="2" width="10.140625" style="101" customWidth="1"/>
    <col min="3" max="3" width="59.28515625" style="101" customWidth="1"/>
    <col min="4" max="4" width="9.140625" style="101" customWidth="1"/>
    <col min="5" max="5" width="10" style="101" customWidth="1"/>
    <col min="6" max="6" width="11.5703125" style="101" customWidth="1"/>
    <col min="7" max="7" width="17.140625" style="185" customWidth="1"/>
    <col min="8" max="8" width="8" style="1348" customWidth="1"/>
    <col min="9" max="9" width="13.42578125" style="1344" customWidth="1"/>
    <col min="10" max="10" width="12.42578125" style="1344" customWidth="1"/>
    <col min="11" max="11" width="14.28515625" style="580" bestFit="1" customWidth="1"/>
    <col min="12" max="14" width="14.7109375" customWidth="1"/>
    <col min="15" max="15" width="10.140625" bestFit="1" customWidth="1"/>
    <col min="16" max="16" width="11.140625" bestFit="1" customWidth="1"/>
    <col min="17" max="17" width="10.140625" bestFit="1" customWidth="1"/>
  </cols>
  <sheetData>
    <row r="1" spans="1:17" ht="15.75" x14ac:dyDescent="0.25">
      <c r="C1" s="1940" t="s">
        <v>982</v>
      </c>
      <c r="D1" s="1940"/>
      <c r="E1" s="1940"/>
      <c r="F1" s="1940"/>
      <c r="G1" s="1940"/>
      <c r="H1" s="1345"/>
      <c r="I1" s="1343"/>
      <c r="J1" s="1343"/>
    </row>
    <row r="2" spans="1:17" ht="15" thickBot="1" x14ac:dyDescent="0.25">
      <c r="A2" s="263"/>
      <c r="B2" s="264"/>
      <c r="C2" s="263"/>
      <c r="D2" s="265"/>
      <c r="E2" s="263"/>
      <c r="F2" s="263"/>
      <c r="G2" s="266"/>
      <c r="H2" s="1346"/>
      <c r="I2" s="1342"/>
      <c r="J2" s="1342"/>
    </row>
    <row r="3" spans="1:17" ht="30.75" thickBot="1" x14ac:dyDescent="0.3">
      <c r="A3" s="1646" t="s">
        <v>84</v>
      </c>
      <c r="B3" s="1647" t="s">
        <v>85</v>
      </c>
      <c r="C3" s="1648" t="s">
        <v>86</v>
      </c>
      <c r="D3" s="1649" t="s">
        <v>468</v>
      </c>
      <c r="E3" s="1650" t="s">
        <v>56</v>
      </c>
      <c r="F3" s="1651" t="s">
        <v>57</v>
      </c>
      <c r="G3" s="1652" t="s">
        <v>332</v>
      </c>
      <c r="H3" s="1653" t="s">
        <v>992</v>
      </c>
      <c r="I3" s="1654" t="s">
        <v>989</v>
      </c>
      <c r="J3" s="1655" t="s">
        <v>990</v>
      </c>
      <c r="K3" s="1656" t="s">
        <v>1022</v>
      </c>
      <c r="L3" s="1657" t="s">
        <v>1023</v>
      </c>
      <c r="M3" s="1656" t="s">
        <v>1112</v>
      </c>
      <c r="N3" s="1657" t="s">
        <v>1113</v>
      </c>
    </row>
    <row r="4" spans="1:17" x14ac:dyDescent="0.2">
      <c r="A4" s="1638">
        <v>2</v>
      </c>
      <c r="B4" s="1639" t="s">
        <v>87</v>
      </c>
      <c r="C4" s="748" t="s">
        <v>646</v>
      </c>
      <c r="D4" s="744">
        <v>14.2</v>
      </c>
      <c r="E4" s="744">
        <v>14.2</v>
      </c>
      <c r="F4" s="745">
        <v>4371500</v>
      </c>
      <c r="G4" s="1640">
        <f t="shared" ref="G4:G9" si="0">E4*F4</f>
        <v>62075300</v>
      </c>
      <c r="H4" s="1641">
        <v>14.1</v>
      </c>
      <c r="I4" s="1642">
        <v>-437150</v>
      </c>
      <c r="J4" s="1643">
        <f>I4+G4</f>
        <v>61638150</v>
      </c>
      <c r="K4" s="1644"/>
      <c r="L4" s="1645">
        <f>J4+K4</f>
        <v>61638150</v>
      </c>
      <c r="M4" s="1644"/>
      <c r="N4" s="1645">
        <f>L4+M4</f>
        <v>61638150</v>
      </c>
      <c r="O4" s="639"/>
    </row>
    <row r="5" spans="1:17" x14ac:dyDescent="0.2">
      <c r="A5" s="362">
        <v>2</v>
      </c>
      <c r="B5" s="648" t="s">
        <v>87</v>
      </c>
      <c r="C5" s="99" t="s">
        <v>647</v>
      </c>
      <c r="D5" s="111">
        <v>10</v>
      </c>
      <c r="E5" s="111">
        <v>10</v>
      </c>
      <c r="F5" s="96">
        <v>2400000</v>
      </c>
      <c r="G5" s="1349">
        <f t="shared" si="0"/>
        <v>24000000</v>
      </c>
      <c r="H5" s="1355">
        <v>10</v>
      </c>
      <c r="I5" s="1356"/>
      <c r="J5" s="1475">
        <f t="shared" ref="J5:J14" si="1">I5+G5</f>
        <v>24000000</v>
      </c>
      <c r="K5" s="1478"/>
      <c r="L5" s="1454">
        <f t="shared" ref="L5:L13" si="2">J5+K5</f>
        <v>24000000</v>
      </c>
      <c r="M5" s="1478"/>
      <c r="N5" s="1454">
        <f t="shared" ref="N5:N13" si="3">L5+M5</f>
        <v>24000000</v>
      </c>
      <c r="O5" s="639"/>
    </row>
    <row r="6" spans="1:17" x14ac:dyDescent="0.2">
      <c r="A6" s="362">
        <v>2</v>
      </c>
      <c r="B6" s="648" t="s">
        <v>88</v>
      </c>
      <c r="C6" s="99" t="s">
        <v>648</v>
      </c>
      <c r="D6" s="111">
        <f>((163*8)+(154*4))/12</f>
        <v>160</v>
      </c>
      <c r="E6" s="119">
        <v>160</v>
      </c>
      <c r="F6" s="108">
        <v>97400</v>
      </c>
      <c r="G6" s="1349">
        <f t="shared" si="0"/>
        <v>15584000</v>
      </c>
      <c r="H6" s="1355">
        <v>158</v>
      </c>
      <c r="I6" s="1356">
        <v>-194800</v>
      </c>
      <c r="J6" s="1475">
        <f t="shared" si="1"/>
        <v>15389200</v>
      </c>
      <c r="K6" s="1478"/>
      <c r="L6" s="1454">
        <f t="shared" si="2"/>
        <v>15389200</v>
      </c>
      <c r="M6" s="1478">
        <v>-97400</v>
      </c>
      <c r="N6" s="1454">
        <f t="shared" si="3"/>
        <v>15291800</v>
      </c>
      <c r="O6" s="639"/>
    </row>
    <row r="7" spans="1:17" x14ac:dyDescent="0.2">
      <c r="A7" s="362">
        <v>2</v>
      </c>
      <c r="B7" s="648" t="s">
        <v>469</v>
      </c>
      <c r="C7" s="98" t="s">
        <v>309</v>
      </c>
      <c r="D7" s="111"/>
      <c r="E7" s="106">
        <v>6</v>
      </c>
      <c r="F7" s="108">
        <v>396700</v>
      </c>
      <c r="G7" s="1349">
        <f t="shared" si="0"/>
        <v>2380200</v>
      </c>
      <c r="H7" s="1355">
        <v>6</v>
      </c>
      <c r="I7" s="1356"/>
      <c r="J7" s="1475">
        <f t="shared" si="1"/>
        <v>2380200</v>
      </c>
      <c r="K7" s="1478"/>
      <c r="L7" s="1454">
        <f t="shared" si="2"/>
        <v>2380200</v>
      </c>
      <c r="M7" s="1478">
        <v>-396700</v>
      </c>
      <c r="N7" s="1454">
        <f t="shared" si="3"/>
        <v>1983500</v>
      </c>
      <c r="O7" s="639"/>
      <c r="P7" s="639"/>
    </row>
    <row r="8" spans="1:17" x14ac:dyDescent="0.2">
      <c r="A8" s="362">
        <v>2</v>
      </c>
      <c r="B8" s="648" t="s">
        <v>490</v>
      </c>
      <c r="C8" s="98" t="s">
        <v>309</v>
      </c>
      <c r="D8" s="111"/>
      <c r="E8" s="106">
        <v>0</v>
      </c>
      <c r="F8" s="108">
        <v>363642</v>
      </c>
      <c r="G8" s="1349">
        <f t="shared" si="0"/>
        <v>0</v>
      </c>
      <c r="H8" s="1355">
        <v>2</v>
      </c>
      <c r="I8" s="1356">
        <v>727284</v>
      </c>
      <c r="J8" s="1475">
        <f t="shared" si="1"/>
        <v>727284</v>
      </c>
      <c r="K8" s="1478"/>
      <c r="L8" s="1454">
        <f t="shared" si="2"/>
        <v>727284</v>
      </c>
      <c r="M8" s="1478"/>
      <c r="N8" s="1454">
        <f t="shared" si="3"/>
        <v>727284</v>
      </c>
      <c r="O8" s="639"/>
      <c r="P8" s="639"/>
    </row>
    <row r="9" spans="1:17" x14ac:dyDescent="0.2">
      <c r="A9" s="362">
        <v>2</v>
      </c>
      <c r="B9" s="648" t="s">
        <v>534</v>
      </c>
      <c r="C9" s="99" t="s">
        <v>89</v>
      </c>
      <c r="D9" s="111"/>
      <c r="E9" s="106">
        <f>139/1043*23.9</f>
        <v>3.1851390220517737</v>
      </c>
      <c r="F9" s="108">
        <v>2200000</v>
      </c>
      <c r="G9" s="1349">
        <f t="shared" si="0"/>
        <v>7007305.8485139022</v>
      </c>
      <c r="H9" s="1355">
        <v>2.56</v>
      </c>
      <c r="I9" s="1356">
        <v>-1367478</v>
      </c>
      <c r="J9" s="1475">
        <f t="shared" si="1"/>
        <v>5639827.8485139022</v>
      </c>
      <c r="K9" s="1478"/>
      <c r="L9" s="1454">
        <f t="shared" si="2"/>
        <v>5639827.8485139022</v>
      </c>
      <c r="M9" s="1478"/>
      <c r="N9" s="1454">
        <f t="shared" si="3"/>
        <v>5639827.8485139022</v>
      </c>
      <c r="O9" s="639"/>
    </row>
    <row r="10" spans="1:17" x14ac:dyDescent="0.2">
      <c r="A10" s="362">
        <v>2</v>
      </c>
      <c r="B10" s="648" t="s">
        <v>535</v>
      </c>
      <c r="C10" s="99" t="s">
        <v>90</v>
      </c>
      <c r="D10" s="111"/>
      <c r="E10" s="106"/>
      <c r="F10" s="108"/>
      <c r="G10" s="1322">
        <v>6518216</v>
      </c>
      <c r="H10" s="111"/>
      <c r="I10" s="108">
        <f>J10-G10</f>
        <v>-1554289</v>
      </c>
      <c r="J10" s="1475">
        <v>4963927</v>
      </c>
      <c r="K10" s="1478"/>
      <c r="L10" s="1454">
        <f t="shared" si="2"/>
        <v>4963927</v>
      </c>
      <c r="M10" s="1478"/>
      <c r="N10" s="1454">
        <f t="shared" si="3"/>
        <v>4963927</v>
      </c>
      <c r="O10" s="639"/>
      <c r="P10" s="639"/>
      <c r="Q10" s="639"/>
    </row>
    <row r="11" spans="1:17" x14ac:dyDescent="0.2">
      <c r="A11" s="362">
        <v>2</v>
      </c>
      <c r="B11" s="650" t="s">
        <v>167</v>
      </c>
      <c r="C11" s="99" t="s">
        <v>649</v>
      </c>
      <c r="D11" s="111"/>
      <c r="E11" s="106"/>
      <c r="F11" s="108"/>
      <c r="G11" s="1322"/>
      <c r="H11" s="111"/>
      <c r="I11" s="108"/>
      <c r="J11" s="1475">
        <f t="shared" si="1"/>
        <v>0</v>
      </c>
      <c r="K11" s="1478"/>
      <c r="L11" s="1454">
        <f t="shared" si="2"/>
        <v>0</v>
      </c>
      <c r="M11" s="1478"/>
      <c r="N11" s="1454">
        <f t="shared" si="3"/>
        <v>0</v>
      </c>
    </row>
    <row r="12" spans="1:17" x14ac:dyDescent="0.2">
      <c r="A12" s="362">
        <v>2</v>
      </c>
      <c r="B12" s="648" t="s">
        <v>87</v>
      </c>
      <c r="C12" s="99" t="s">
        <v>1024</v>
      </c>
      <c r="D12" s="111"/>
      <c r="E12" s="106"/>
      <c r="F12" s="108"/>
      <c r="G12" s="1322"/>
      <c r="H12" s="111"/>
      <c r="I12" s="108"/>
      <c r="J12" s="1475"/>
      <c r="K12" s="1478">
        <v>8034353</v>
      </c>
      <c r="L12" s="1454">
        <f t="shared" si="2"/>
        <v>8034353</v>
      </c>
      <c r="M12" s="1478"/>
      <c r="N12" s="1454">
        <f t="shared" si="3"/>
        <v>8034353</v>
      </c>
    </row>
    <row r="13" spans="1:17" x14ac:dyDescent="0.2">
      <c r="A13" s="362">
        <v>2</v>
      </c>
      <c r="B13" s="648" t="s">
        <v>534</v>
      </c>
      <c r="C13" s="99" t="s">
        <v>1032</v>
      </c>
      <c r="D13" s="111"/>
      <c r="E13" s="106"/>
      <c r="F13" s="108"/>
      <c r="G13" s="1322"/>
      <c r="H13" s="111"/>
      <c r="I13" s="108"/>
      <c r="J13" s="1475"/>
      <c r="K13" s="1478">
        <f>H9*176000</f>
        <v>450560</v>
      </c>
      <c r="L13" s="1454">
        <f t="shared" si="2"/>
        <v>450560</v>
      </c>
      <c r="M13" s="1478"/>
      <c r="N13" s="1454">
        <f t="shared" si="3"/>
        <v>450560</v>
      </c>
    </row>
    <row r="14" spans="1:17" ht="15" x14ac:dyDescent="0.25">
      <c r="A14" s="363"/>
      <c r="B14" s="651"/>
      <c r="C14" s="100" t="s">
        <v>501</v>
      </c>
      <c r="D14" s="117"/>
      <c r="E14" s="103"/>
      <c r="F14" s="103"/>
      <c r="G14" s="1350">
        <f>SUM(G4:G11)</f>
        <v>117565021.8485139</v>
      </c>
      <c r="H14" s="117"/>
      <c r="I14" s="103">
        <f>SUM(I4:I11)</f>
        <v>-2826433</v>
      </c>
      <c r="J14" s="1476">
        <f t="shared" si="1"/>
        <v>114738588.8485139</v>
      </c>
      <c r="K14" s="286">
        <f>SUM(K4:K13)</f>
        <v>8484913</v>
      </c>
      <c r="L14" s="1479">
        <f>J14+K14</f>
        <v>123223501.8485139</v>
      </c>
      <c r="M14" s="286">
        <f>SUM(M4:M13)</f>
        <v>-494100</v>
      </c>
      <c r="N14" s="1479">
        <f>L14+M14</f>
        <v>122729401.8485139</v>
      </c>
    </row>
    <row r="15" spans="1:17" x14ac:dyDescent="0.2">
      <c r="A15" s="362"/>
      <c r="B15" s="648"/>
      <c r="C15" s="108"/>
      <c r="D15" s="111"/>
      <c r="E15" s="99"/>
      <c r="F15" s="108"/>
      <c r="G15" s="1322"/>
      <c r="H15" s="111"/>
      <c r="I15" s="108"/>
      <c r="J15" s="1322"/>
      <c r="K15" s="1478"/>
      <c r="L15" s="649"/>
      <c r="M15" s="1478"/>
      <c r="N15" s="649"/>
    </row>
    <row r="16" spans="1:17" x14ac:dyDescent="0.2">
      <c r="A16" s="362">
        <v>2</v>
      </c>
      <c r="B16" s="648" t="s">
        <v>87</v>
      </c>
      <c r="C16" s="99" t="s">
        <v>646</v>
      </c>
      <c r="D16" s="111">
        <v>11</v>
      </c>
      <c r="E16" s="111">
        <v>11</v>
      </c>
      <c r="F16" s="96">
        <v>4371500</v>
      </c>
      <c r="G16" s="1349">
        <f t="shared" ref="G16:G20" si="4">E16*F16</f>
        <v>48086500</v>
      </c>
      <c r="H16" s="1355">
        <v>10</v>
      </c>
      <c r="I16" s="1356">
        <v>-4371500</v>
      </c>
      <c r="J16" s="1349">
        <f>G16+I16</f>
        <v>43715000</v>
      </c>
      <c r="K16" s="1478"/>
      <c r="L16" s="1454">
        <f t="shared" ref="L16:L87" si="5">J16+K16</f>
        <v>43715000</v>
      </c>
      <c r="M16" s="1478">
        <v>437150</v>
      </c>
      <c r="N16" s="1454">
        <f t="shared" ref="N16:N49" si="6">L16+M16</f>
        <v>44152150</v>
      </c>
    </row>
    <row r="17" spans="1:16" x14ac:dyDescent="0.2">
      <c r="A17" s="362">
        <v>2</v>
      </c>
      <c r="B17" s="648" t="s">
        <v>87</v>
      </c>
      <c r="C17" s="99" t="s">
        <v>647</v>
      </c>
      <c r="D17" s="111">
        <v>9</v>
      </c>
      <c r="E17" s="111">
        <v>9</v>
      </c>
      <c r="F17" s="96">
        <v>2400000</v>
      </c>
      <c r="G17" s="1349">
        <f t="shared" si="4"/>
        <v>21600000</v>
      </c>
      <c r="H17" s="1355">
        <v>5</v>
      </c>
      <c r="I17" s="1356">
        <v>-9600000</v>
      </c>
      <c r="J17" s="1349">
        <f t="shared" ref="J17:J25" si="7">G17+I17</f>
        <v>12000000</v>
      </c>
      <c r="K17" s="1478"/>
      <c r="L17" s="1454">
        <f t="shared" si="5"/>
        <v>12000000</v>
      </c>
      <c r="M17" s="1478">
        <v>6480000</v>
      </c>
      <c r="N17" s="1454">
        <f t="shared" si="6"/>
        <v>18480000</v>
      </c>
      <c r="O17" s="652"/>
    </row>
    <row r="18" spans="1:16" x14ac:dyDescent="0.2">
      <c r="A18" s="362">
        <v>2</v>
      </c>
      <c r="B18" s="648" t="s">
        <v>88</v>
      </c>
      <c r="C18" s="99" t="s">
        <v>648</v>
      </c>
      <c r="D18" s="111">
        <v>118.65</v>
      </c>
      <c r="E18" s="119">
        <v>118.65</v>
      </c>
      <c r="F18" s="108">
        <v>97400</v>
      </c>
      <c r="G18" s="1349">
        <f t="shared" si="4"/>
        <v>11556510</v>
      </c>
      <c r="H18" s="1355">
        <v>108.7</v>
      </c>
      <c r="I18" s="1356">
        <v>-969130</v>
      </c>
      <c r="J18" s="1349">
        <f t="shared" si="7"/>
        <v>10587380</v>
      </c>
      <c r="K18" s="1478"/>
      <c r="L18" s="1454">
        <f t="shared" si="5"/>
        <v>10587380</v>
      </c>
      <c r="M18" s="1478">
        <v>33116</v>
      </c>
      <c r="N18" s="1454">
        <f t="shared" si="6"/>
        <v>10620496</v>
      </c>
    </row>
    <row r="19" spans="1:16" s="184" customFormat="1" x14ac:dyDescent="0.2">
      <c r="A19" s="362">
        <v>2</v>
      </c>
      <c r="B19" s="648" t="s">
        <v>469</v>
      </c>
      <c r="C19" s="98" t="s">
        <v>309</v>
      </c>
      <c r="D19" s="111"/>
      <c r="E19" s="106">
        <v>5</v>
      </c>
      <c r="F19" s="108">
        <v>396700</v>
      </c>
      <c r="G19" s="1349">
        <f t="shared" si="4"/>
        <v>1983500</v>
      </c>
      <c r="H19" s="1355">
        <v>5</v>
      </c>
      <c r="I19" s="1356"/>
      <c r="J19" s="1349">
        <f t="shared" si="7"/>
        <v>1983500</v>
      </c>
      <c r="K19" s="1478"/>
      <c r="L19" s="1454">
        <f t="shared" si="5"/>
        <v>1983500</v>
      </c>
      <c r="M19" s="1478"/>
      <c r="N19" s="1454">
        <f t="shared" si="6"/>
        <v>1983500</v>
      </c>
      <c r="O19" s="652"/>
      <c r="P19"/>
    </row>
    <row r="20" spans="1:16" s="184" customFormat="1" x14ac:dyDescent="0.2">
      <c r="A20" s="362">
        <v>2</v>
      </c>
      <c r="B20" s="648" t="s">
        <v>534</v>
      </c>
      <c r="C20" s="99" t="s">
        <v>89</v>
      </c>
      <c r="D20" s="111"/>
      <c r="E20" s="106">
        <f>100/1043*23.9</f>
        <v>2.2914669223394055</v>
      </c>
      <c r="F20" s="108">
        <v>2200000</v>
      </c>
      <c r="G20" s="1349">
        <f t="shared" si="4"/>
        <v>5041227.229146692</v>
      </c>
      <c r="H20" s="1355">
        <v>2.0299999999999998</v>
      </c>
      <c r="I20" s="1356">
        <v>-560076</v>
      </c>
      <c r="J20" s="1349">
        <f t="shared" si="7"/>
        <v>4481151.229146692</v>
      </c>
      <c r="K20" s="1478"/>
      <c r="L20" s="1454">
        <f t="shared" si="5"/>
        <v>4481151.229146692</v>
      </c>
      <c r="M20" s="1478"/>
      <c r="N20" s="1454">
        <f t="shared" si="6"/>
        <v>4481151.229146692</v>
      </c>
      <c r="O20"/>
      <c r="P20"/>
    </row>
    <row r="21" spans="1:16" s="184" customFormat="1" x14ac:dyDescent="0.2">
      <c r="A21" s="362">
        <v>2</v>
      </c>
      <c r="B21" s="648" t="s">
        <v>535</v>
      </c>
      <c r="C21" s="99" t="s">
        <v>90</v>
      </c>
      <c r="D21" s="111"/>
      <c r="E21" s="106"/>
      <c r="F21" s="108"/>
      <c r="G21" s="1322">
        <v>5509565</v>
      </c>
      <c r="H21" s="111"/>
      <c r="I21" s="108">
        <f>J21-G21</f>
        <v>-893197</v>
      </c>
      <c r="J21" s="1349">
        <v>4616368</v>
      </c>
      <c r="K21" s="1478"/>
      <c r="L21" s="1454">
        <f t="shared" si="5"/>
        <v>4616368</v>
      </c>
      <c r="M21" s="1478"/>
      <c r="N21" s="1454">
        <f t="shared" si="6"/>
        <v>4616368</v>
      </c>
      <c r="O21"/>
      <c r="P21"/>
    </row>
    <row r="22" spans="1:16" s="184" customFormat="1" x14ac:dyDescent="0.2">
      <c r="A22" s="362">
        <v>2</v>
      </c>
      <c r="B22" s="650" t="s">
        <v>167</v>
      </c>
      <c r="C22" s="99" t="s">
        <v>649</v>
      </c>
      <c r="D22" s="111"/>
      <c r="E22" s="106"/>
      <c r="F22" s="108"/>
      <c r="G22" s="1322"/>
      <c r="H22" s="111"/>
      <c r="I22" s="108">
        <v>34075</v>
      </c>
      <c r="J22" s="1349">
        <f t="shared" si="7"/>
        <v>34075</v>
      </c>
      <c r="K22" s="1478">
        <f>15334</f>
        <v>15334</v>
      </c>
      <c r="L22" s="1454">
        <f t="shared" si="5"/>
        <v>49409</v>
      </c>
      <c r="M22" s="1478">
        <v>15246</v>
      </c>
      <c r="N22" s="1454">
        <f t="shared" si="6"/>
        <v>64655</v>
      </c>
      <c r="O22"/>
      <c r="P22"/>
    </row>
    <row r="23" spans="1:16" s="184" customFormat="1" x14ac:dyDescent="0.2">
      <c r="A23" s="362">
        <v>2</v>
      </c>
      <c r="B23" s="648" t="s">
        <v>87</v>
      </c>
      <c r="C23" s="99" t="s">
        <v>1024</v>
      </c>
      <c r="D23" s="111"/>
      <c r="E23" s="106"/>
      <c r="F23" s="108"/>
      <c r="G23" s="1322"/>
      <c r="H23" s="111"/>
      <c r="I23" s="108"/>
      <c r="J23" s="1349"/>
      <c r="K23" s="1478">
        <v>4659706</v>
      </c>
      <c r="L23" s="1454">
        <f t="shared" si="5"/>
        <v>4659706</v>
      </c>
      <c r="M23" s="1478"/>
      <c r="N23" s="1454">
        <f t="shared" si="6"/>
        <v>4659706</v>
      </c>
      <c r="O23"/>
      <c r="P23"/>
    </row>
    <row r="24" spans="1:16" s="184" customFormat="1" x14ac:dyDescent="0.2">
      <c r="A24" s="362">
        <v>2</v>
      </c>
      <c r="B24" s="648" t="s">
        <v>534</v>
      </c>
      <c r="C24" s="99" t="s">
        <v>1024</v>
      </c>
      <c r="D24" s="111"/>
      <c r="E24" s="106"/>
      <c r="F24" s="108"/>
      <c r="G24" s="1322"/>
      <c r="H24" s="111"/>
      <c r="I24" s="108"/>
      <c r="J24" s="1349"/>
      <c r="K24" s="1478">
        <f>H20*176000</f>
        <v>357279.99999999994</v>
      </c>
      <c r="L24" s="1454">
        <f t="shared" si="5"/>
        <v>357279.99999999994</v>
      </c>
      <c r="M24" s="1478"/>
      <c r="N24" s="1454">
        <f t="shared" si="6"/>
        <v>357279.99999999994</v>
      </c>
      <c r="O24"/>
      <c r="P24"/>
    </row>
    <row r="25" spans="1:16" s="184" customFormat="1" ht="15" x14ac:dyDescent="0.25">
      <c r="A25" s="362"/>
      <c r="B25" s="651"/>
      <c r="C25" s="100" t="s">
        <v>500</v>
      </c>
      <c r="D25" s="117"/>
      <c r="E25" s="105"/>
      <c r="F25" s="103"/>
      <c r="G25" s="1350">
        <f>SUM(G16:G22)</f>
        <v>93777302.229146689</v>
      </c>
      <c r="H25" s="117"/>
      <c r="I25" s="103">
        <f>SUM(I16:I22)</f>
        <v>-16359828</v>
      </c>
      <c r="J25" s="1477">
        <f t="shared" si="7"/>
        <v>77417474.229146689</v>
      </c>
      <c r="K25" s="286">
        <f>SUM(K16:K24)</f>
        <v>5032320</v>
      </c>
      <c r="L25" s="1455">
        <f t="shared" si="5"/>
        <v>82449794.229146689</v>
      </c>
      <c r="M25" s="286">
        <f>SUM(M16:M24)</f>
        <v>6965512</v>
      </c>
      <c r="N25" s="1455">
        <f t="shared" si="6"/>
        <v>89415306.229146689</v>
      </c>
      <c r="O25"/>
      <c r="P25"/>
    </row>
    <row r="26" spans="1:16" s="184" customFormat="1" x14ac:dyDescent="0.2">
      <c r="A26" s="362"/>
      <c r="B26" s="648"/>
      <c r="C26" s="108"/>
      <c r="D26" s="111"/>
      <c r="E26" s="99"/>
      <c r="F26" s="108"/>
      <c r="G26" s="1322"/>
      <c r="H26" s="111"/>
      <c r="I26" s="108"/>
      <c r="J26" s="1322"/>
      <c r="K26" s="1478"/>
      <c r="L26" s="1454">
        <f t="shared" si="5"/>
        <v>0</v>
      </c>
      <c r="M26" s="1478"/>
      <c r="N26" s="1454">
        <f t="shared" si="6"/>
        <v>0</v>
      </c>
      <c r="O26"/>
      <c r="P26"/>
    </row>
    <row r="27" spans="1:16" s="184" customFormat="1" x14ac:dyDescent="0.2">
      <c r="A27" s="362">
        <v>2</v>
      </c>
      <c r="B27" s="648" t="s">
        <v>87</v>
      </c>
      <c r="C27" s="99" t="s">
        <v>646</v>
      </c>
      <c r="D27" s="111">
        <v>6.5</v>
      </c>
      <c r="E27" s="111">
        <v>6.5</v>
      </c>
      <c r="F27" s="96">
        <v>4371500</v>
      </c>
      <c r="G27" s="1349">
        <f>(E27*F27)</f>
        <v>28414750</v>
      </c>
      <c r="H27" s="1355">
        <v>6.5</v>
      </c>
      <c r="I27" s="1356"/>
      <c r="J27" s="1349">
        <f>I27+G27</f>
        <v>28414750</v>
      </c>
      <c r="K27" s="1478"/>
      <c r="L27" s="1454">
        <f t="shared" si="5"/>
        <v>28414750</v>
      </c>
      <c r="M27" s="1478"/>
      <c r="N27" s="1454">
        <f t="shared" si="6"/>
        <v>28414750</v>
      </c>
      <c r="O27"/>
      <c r="P27"/>
    </row>
    <row r="28" spans="1:16" s="184" customFormat="1" x14ac:dyDescent="0.2">
      <c r="A28" s="362">
        <v>2</v>
      </c>
      <c r="B28" s="648" t="s">
        <v>87</v>
      </c>
      <c r="C28" s="99" t="s">
        <v>647</v>
      </c>
      <c r="D28" s="120">
        <v>5</v>
      </c>
      <c r="E28" s="111">
        <v>5</v>
      </c>
      <c r="F28" s="96">
        <v>2400000</v>
      </c>
      <c r="G28" s="1349">
        <f t="shared" ref="G28:G31" si="8">E28*F28</f>
        <v>12000000</v>
      </c>
      <c r="H28" s="1355">
        <v>5</v>
      </c>
      <c r="I28" s="1356"/>
      <c r="J28" s="1349">
        <f t="shared" ref="J28:J36" si="9">I28+G28</f>
        <v>12000000</v>
      </c>
      <c r="K28" s="1478"/>
      <c r="L28" s="1454">
        <f t="shared" si="5"/>
        <v>12000000</v>
      </c>
      <c r="M28" s="1478"/>
      <c r="N28" s="1454">
        <f t="shared" si="6"/>
        <v>12000000</v>
      </c>
      <c r="O28"/>
      <c r="P28"/>
    </row>
    <row r="29" spans="1:16" s="184" customFormat="1" x14ac:dyDescent="0.2">
      <c r="A29" s="362">
        <v>2</v>
      </c>
      <c r="B29" s="648" t="s">
        <v>88</v>
      </c>
      <c r="C29" s="99" t="s">
        <v>648</v>
      </c>
      <c r="D29" s="120">
        <v>68.650000000000006</v>
      </c>
      <c r="E29" s="119">
        <v>68.650000000000006</v>
      </c>
      <c r="F29" s="108">
        <v>97400</v>
      </c>
      <c r="G29" s="1349">
        <f t="shared" si="8"/>
        <v>6686510.0000000009</v>
      </c>
      <c r="H29" s="1355">
        <v>68.7</v>
      </c>
      <c r="I29" s="1356"/>
      <c r="J29" s="1349">
        <f t="shared" si="9"/>
        <v>6686510.0000000009</v>
      </c>
      <c r="K29" s="1478"/>
      <c r="L29" s="1454">
        <f t="shared" si="5"/>
        <v>6686510.0000000009</v>
      </c>
      <c r="M29" s="1478">
        <v>-63310</v>
      </c>
      <c r="N29" s="1454">
        <f t="shared" si="6"/>
        <v>6623200.0000000009</v>
      </c>
      <c r="O29"/>
      <c r="P29"/>
    </row>
    <row r="30" spans="1:16" s="184" customFormat="1" x14ac:dyDescent="0.2">
      <c r="A30" s="362">
        <v>2</v>
      </c>
      <c r="B30" s="648" t="s">
        <v>469</v>
      </c>
      <c r="C30" s="98" t="s">
        <v>309</v>
      </c>
      <c r="D30" s="120"/>
      <c r="E30" s="106">
        <v>3</v>
      </c>
      <c r="F30" s="108">
        <v>396700</v>
      </c>
      <c r="G30" s="1349">
        <f t="shared" si="8"/>
        <v>1190100</v>
      </c>
      <c r="H30" s="1355">
        <v>3</v>
      </c>
      <c r="I30" s="1356"/>
      <c r="J30" s="1349">
        <f t="shared" si="9"/>
        <v>1190100</v>
      </c>
      <c r="K30" s="1478"/>
      <c r="L30" s="1454">
        <f t="shared" si="5"/>
        <v>1190100</v>
      </c>
      <c r="M30" s="1478"/>
      <c r="N30" s="1454">
        <f t="shared" si="6"/>
        <v>1190100</v>
      </c>
      <c r="O30"/>
      <c r="P30"/>
    </row>
    <row r="31" spans="1:16" s="184" customFormat="1" x14ac:dyDescent="0.2">
      <c r="A31" s="362">
        <v>2</v>
      </c>
      <c r="B31" s="648" t="s">
        <v>534</v>
      </c>
      <c r="C31" s="99" t="s">
        <v>89</v>
      </c>
      <c r="D31" s="120"/>
      <c r="E31" s="111">
        <f>58/1043*23.9</f>
        <v>1.3290508149568552</v>
      </c>
      <c r="F31" s="108">
        <v>2200000</v>
      </c>
      <c r="G31" s="1349">
        <f t="shared" si="8"/>
        <v>2923911.7929050815</v>
      </c>
      <c r="H31" s="1355">
        <v>1.34</v>
      </c>
      <c r="I31" s="1356">
        <v>7682</v>
      </c>
      <c r="J31" s="1349">
        <f t="shared" si="9"/>
        <v>2931593.7929050815</v>
      </c>
      <c r="K31" s="1478"/>
      <c r="L31" s="1454">
        <f t="shared" si="5"/>
        <v>2931593.7929050815</v>
      </c>
      <c r="M31" s="1478"/>
      <c r="N31" s="1454">
        <f t="shared" si="6"/>
        <v>2931593.7929050815</v>
      </c>
      <c r="O31"/>
      <c r="P31"/>
    </row>
    <row r="32" spans="1:16" s="184" customFormat="1" x14ac:dyDescent="0.2">
      <c r="A32" s="362">
        <v>2</v>
      </c>
      <c r="B32" s="648" t="s">
        <v>535</v>
      </c>
      <c r="C32" s="99" t="s">
        <v>90</v>
      </c>
      <c r="D32" s="120"/>
      <c r="E32" s="111"/>
      <c r="F32" s="108"/>
      <c r="G32" s="1322">
        <v>2753521</v>
      </c>
      <c r="H32" s="111"/>
      <c r="I32" s="108">
        <f>J32-G32</f>
        <v>45796</v>
      </c>
      <c r="J32" s="1349">
        <v>2799317</v>
      </c>
      <c r="K32" s="1478"/>
      <c r="L32" s="1454">
        <f t="shared" si="5"/>
        <v>2799317</v>
      </c>
      <c r="M32" s="1478"/>
      <c r="N32" s="1454">
        <f t="shared" si="6"/>
        <v>2799317</v>
      </c>
      <c r="O32"/>
      <c r="P32"/>
    </row>
    <row r="33" spans="1:16" s="184" customFormat="1" x14ac:dyDescent="0.2">
      <c r="A33" s="362">
        <v>2</v>
      </c>
      <c r="B33" s="650" t="s">
        <v>167</v>
      </c>
      <c r="C33" s="99" t="s">
        <v>649</v>
      </c>
      <c r="D33" s="120"/>
      <c r="E33" s="111"/>
      <c r="F33" s="108"/>
      <c r="G33" s="1322"/>
      <c r="H33" s="111"/>
      <c r="I33" s="108"/>
      <c r="J33" s="1349">
        <f t="shared" si="9"/>
        <v>0</v>
      </c>
      <c r="K33" s="1478"/>
      <c r="L33" s="1454">
        <f t="shared" si="5"/>
        <v>0</v>
      </c>
      <c r="M33" s="1478"/>
      <c r="N33" s="1454">
        <f t="shared" si="6"/>
        <v>0</v>
      </c>
      <c r="O33"/>
      <c r="P33"/>
    </row>
    <row r="34" spans="1:16" s="184" customFormat="1" x14ac:dyDescent="0.2">
      <c r="A34" s="362">
        <v>2</v>
      </c>
      <c r="B34" s="648" t="s">
        <v>87</v>
      </c>
      <c r="C34" s="99" t="s">
        <v>1024</v>
      </c>
      <c r="D34" s="120"/>
      <c r="E34" s="111"/>
      <c r="F34" s="108"/>
      <c r="G34" s="1322"/>
      <c r="H34" s="111"/>
      <c r="I34" s="108"/>
      <c r="J34" s="1349"/>
      <c r="K34" s="1478">
        <v>3892975</v>
      </c>
      <c r="L34" s="1454">
        <f t="shared" si="5"/>
        <v>3892975</v>
      </c>
      <c r="M34" s="1478"/>
      <c r="N34" s="1454">
        <f t="shared" si="6"/>
        <v>3892975</v>
      </c>
      <c r="O34"/>
      <c r="P34"/>
    </row>
    <row r="35" spans="1:16" s="184" customFormat="1" x14ac:dyDescent="0.2">
      <c r="A35" s="362">
        <v>2</v>
      </c>
      <c r="B35" s="648" t="s">
        <v>534</v>
      </c>
      <c r="C35" s="99"/>
      <c r="D35" s="120"/>
      <c r="E35" s="111"/>
      <c r="F35" s="108"/>
      <c r="G35" s="1322"/>
      <c r="H35" s="111"/>
      <c r="I35" s="108"/>
      <c r="J35" s="1349"/>
      <c r="K35" s="1478">
        <f>H31*176000</f>
        <v>235840</v>
      </c>
      <c r="L35" s="1454">
        <f t="shared" si="5"/>
        <v>235840</v>
      </c>
      <c r="M35" s="1478"/>
      <c r="N35" s="1454">
        <f t="shared" si="6"/>
        <v>235840</v>
      </c>
      <c r="O35"/>
      <c r="P35"/>
    </row>
    <row r="36" spans="1:16" s="184" customFormat="1" ht="15" x14ac:dyDescent="0.25">
      <c r="A36" s="363"/>
      <c r="B36" s="651"/>
      <c r="C36" s="100" t="s">
        <v>499</v>
      </c>
      <c r="D36" s="117"/>
      <c r="E36" s="100"/>
      <c r="F36" s="103"/>
      <c r="G36" s="1350">
        <f>SUM(G27:G33)</f>
        <v>53968792.792905085</v>
      </c>
      <c r="H36" s="117"/>
      <c r="I36" s="103">
        <f>SUM(I27:I33)</f>
        <v>53478</v>
      </c>
      <c r="J36" s="1477">
        <f t="shared" si="9"/>
        <v>54022270.792905085</v>
      </c>
      <c r="K36" s="286">
        <f>SUM(K27:K35)</f>
        <v>4128815</v>
      </c>
      <c r="L36" s="1455">
        <f t="shared" si="5"/>
        <v>58151085.792905085</v>
      </c>
      <c r="M36" s="286">
        <f>SUM(M27:M35)</f>
        <v>-63310</v>
      </c>
      <c r="N36" s="1455">
        <f t="shared" si="6"/>
        <v>58087775.792905085</v>
      </c>
      <c r="O36"/>
      <c r="P36"/>
    </row>
    <row r="37" spans="1:16" s="184" customFormat="1" x14ac:dyDescent="0.2">
      <c r="A37" s="362"/>
      <c r="B37" s="648"/>
      <c r="C37" s="99"/>
      <c r="D37" s="111"/>
      <c r="E37" s="99"/>
      <c r="F37" s="108"/>
      <c r="G37" s="1322"/>
      <c r="H37" s="111"/>
      <c r="I37" s="108"/>
      <c r="J37" s="1322"/>
      <c r="K37" s="1478"/>
      <c r="L37" s="1454">
        <f t="shared" si="5"/>
        <v>0</v>
      </c>
      <c r="M37" s="1478"/>
      <c r="N37" s="1454">
        <f t="shared" si="6"/>
        <v>0</v>
      </c>
      <c r="O37"/>
      <c r="P37"/>
    </row>
    <row r="38" spans="1:16" s="184" customFormat="1" x14ac:dyDescent="0.2">
      <c r="A38" s="362">
        <v>2</v>
      </c>
      <c r="B38" s="648" t="s">
        <v>87</v>
      </c>
      <c r="C38" s="99" t="s">
        <v>77</v>
      </c>
      <c r="D38" s="120">
        <v>3.2</v>
      </c>
      <c r="E38" s="111">
        <v>3.2</v>
      </c>
      <c r="F38" s="96">
        <v>4371500</v>
      </c>
      <c r="G38" s="1349">
        <f t="shared" ref="G38:G43" si="10">E38*F38</f>
        <v>13988800</v>
      </c>
      <c r="H38" s="1355">
        <v>3.3</v>
      </c>
      <c r="I38" s="1356">
        <v>437150</v>
      </c>
      <c r="J38" s="1349">
        <f>G38+I38</f>
        <v>14425950</v>
      </c>
      <c r="K38" s="1478"/>
      <c r="L38" s="1454">
        <f t="shared" si="5"/>
        <v>14425950</v>
      </c>
      <c r="M38" s="1478"/>
      <c r="N38" s="1454">
        <f t="shared" si="6"/>
        <v>14425950</v>
      </c>
      <c r="O38"/>
      <c r="P38"/>
    </row>
    <row r="39" spans="1:16" s="184" customFormat="1" x14ac:dyDescent="0.2">
      <c r="A39" s="362">
        <v>2</v>
      </c>
      <c r="B39" s="648" t="s">
        <v>87</v>
      </c>
      <c r="C39" s="99" t="s">
        <v>78</v>
      </c>
      <c r="D39" s="120">
        <v>2</v>
      </c>
      <c r="E39" s="111">
        <v>2</v>
      </c>
      <c r="F39" s="96">
        <v>2400000</v>
      </c>
      <c r="G39" s="1349">
        <f t="shared" si="10"/>
        <v>4800000</v>
      </c>
      <c r="H39" s="1355">
        <v>2</v>
      </c>
      <c r="I39" s="1356"/>
      <c r="J39" s="1349">
        <f t="shared" ref="J39:J48" si="11">G39+I39</f>
        <v>4800000</v>
      </c>
      <c r="K39" s="1478"/>
      <c r="L39" s="1454">
        <f t="shared" si="5"/>
        <v>4800000</v>
      </c>
      <c r="M39" s="1478"/>
      <c r="N39" s="1454">
        <f t="shared" si="6"/>
        <v>4800000</v>
      </c>
      <c r="O39"/>
      <c r="P39"/>
    </row>
    <row r="40" spans="1:16" s="184" customFormat="1" x14ac:dyDescent="0.2">
      <c r="A40" s="362">
        <v>2</v>
      </c>
      <c r="B40" s="648" t="s">
        <v>88</v>
      </c>
      <c r="C40" s="99" t="s">
        <v>648</v>
      </c>
      <c r="D40" s="111">
        <v>34</v>
      </c>
      <c r="E40" s="119">
        <v>34</v>
      </c>
      <c r="F40" s="108">
        <v>97400</v>
      </c>
      <c r="G40" s="1349">
        <f t="shared" si="10"/>
        <v>3311600</v>
      </c>
      <c r="H40" s="1355">
        <v>34.700000000000003</v>
      </c>
      <c r="I40" s="1356">
        <v>63310</v>
      </c>
      <c r="J40" s="1349">
        <f t="shared" si="11"/>
        <v>3374910</v>
      </c>
      <c r="K40" s="1478"/>
      <c r="L40" s="1454">
        <f t="shared" si="5"/>
        <v>3374910</v>
      </c>
      <c r="M40" s="1478">
        <v>974</v>
      </c>
      <c r="N40" s="1454">
        <f t="shared" si="6"/>
        <v>3375884</v>
      </c>
      <c r="O40"/>
      <c r="P40"/>
    </row>
    <row r="41" spans="1:16" s="184" customFormat="1" x14ac:dyDescent="0.2">
      <c r="A41" s="362">
        <v>2</v>
      </c>
      <c r="B41" s="648" t="s">
        <v>469</v>
      </c>
      <c r="C41" s="98" t="s">
        <v>309</v>
      </c>
      <c r="D41" s="111"/>
      <c r="E41" s="106">
        <v>1</v>
      </c>
      <c r="F41" s="108">
        <v>396700</v>
      </c>
      <c r="G41" s="1349">
        <f t="shared" si="10"/>
        <v>396700</v>
      </c>
      <c r="H41" s="1355">
        <v>1</v>
      </c>
      <c r="I41" s="1356"/>
      <c r="J41" s="1349">
        <f t="shared" si="11"/>
        <v>396700</v>
      </c>
      <c r="K41" s="1478"/>
      <c r="L41" s="1454">
        <f t="shared" si="5"/>
        <v>396700</v>
      </c>
      <c r="M41" s="1478"/>
      <c r="N41" s="1454">
        <f t="shared" si="6"/>
        <v>396700</v>
      </c>
      <c r="O41"/>
      <c r="P41"/>
    </row>
    <row r="42" spans="1:16" s="184" customFormat="1" x14ac:dyDescent="0.2">
      <c r="A42" s="362">
        <v>2</v>
      </c>
      <c r="B42" s="648" t="s">
        <v>490</v>
      </c>
      <c r="C42" s="98" t="s">
        <v>309</v>
      </c>
      <c r="D42" s="111"/>
      <c r="E42" s="106">
        <v>0</v>
      </c>
      <c r="F42" s="108">
        <v>363642</v>
      </c>
      <c r="G42" s="1349">
        <f t="shared" si="10"/>
        <v>0</v>
      </c>
      <c r="H42" s="1355"/>
      <c r="I42" s="1356"/>
      <c r="J42" s="1349">
        <f t="shared" si="11"/>
        <v>0</v>
      </c>
      <c r="K42" s="1478"/>
      <c r="L42" s="1454">
        <f t="shared" si="5"/>
        <v>0</v>
      </c>
      <c r="M42" s="1478"/>
      <c r="N42" s="1454">
        <f t="shared" si="6"/>
        <v>0</v>
      </c>
      <c r="O42"/>
      <c r="P42"/>
    </row>
    <row r="43" spans="1:16" s="184" customFormat="1" x14ac:dyDescent="0.2">
      <c r="A43" s="362">
        <v>2</v>
      </c>
      <c r="B43" s="648" t="s">
        <v>534</v>
      </c>
      <c r="C43" s="99" t="s">
        <v>89</v>
      </c>
      <c r="D43" s="111"/>
      <c r="E43" s="111">
        <f>29/1043*23.9</f>
        <v>0.66452540747842759</v>
      </c>
      <c r="F43" s="108">
        <v>2200000</v>
      </c>
      <c r="G43" s="1349">
        <f t="shared" si="10"/>
        <v>1461955.8964525408</v>
      </c>
      <c r="H43" s="1355">
        <v>0.61</v>
      </c>
      <c r="I43" s="1356">
        <v>-135759</v>
      </c>
      <c r="J43" s="1349">
        <f t="shared" si="11"/>
        <v>1326196.8964525408</v>
      </c>
      <c r="K43" s="1478"/>
      <c r="L43" s="1454">
        <f t="shared" si="5"/>
        <v>1326196.8964525408</v>
      </c>
      <c r="M43" s="1478"/>
      <c r="N43" s="1454">
        <f t="shared" si="6"/>
        <v>1326196.8964525408</v>
      </c>
      <c r="O43"/>
      <c r="P43"/>
    </row>
    <row r="44" spans="1:16" s="184" customFormat="1" x14ac:dyDescent="0.2">
      <c r="A44" s="362">
        <v>2</v>
      </c>
      <c r="B44" s="648" t="s">
        <v>535</v>
      </c>
      <c r="C44" s="99" t="s">
        <v>90</v>
      </c>
      <c r="D44" s="111"/>
      <c r="E44" s="111"/>
      <c r="F44" s="108"/>
      <c r="G44" s="1322">
        <v>1661233</v>
      </c>
      <c r="H44" s="111"/>
      <c r="I44" s="108">
        <f>J44-G44</f>
        <v>-239763</v>
      </c>
      <c r="J44" s="1349">
        <v>1421470</v>
      </c>
      <c r="K44" s="1478"/>
      <c r="L44" s="1454">
        <f t="shared" si="5"/>
        <v>1421470</v>
      </c>
      <c r="M44" s="1478"/>
      <c r="N44" s="1454">
        <f t="shared" si="6"/>
        <v>1421470</v>
      </c>
      <c r="O44"/>
      <c r="P44"/>
    </row>
    <row r="45" spans="1:16" s="184" customFormat="1" x14ac:dyDescent="0.2">
      <c r="A45" s="362">
        <v>2</v>
      </c>
      <c r="B45" s="650" t="s">
        <v>167</v>
      </c>
      <c r="C45" s="99" t="s">
        <v>649</v>
      </c>
      <c r="D45" s="111"/>
      <c r="E45" s="111"/>
      <c r="F45" s="108"/>
      <c r="G45" s="1322"/>
      <c r="H45" s="111"/>
      <c r="I45" s="108"/>
      <c r="J45" s="1349">
        <f t="shared" si="11"/>
        <v>0</v>
      </c>
      <c r="K45" s="1478"/>
      <c r="L45" s="1454">
        <f t="shared" si="5"/>
        <v>0</v>
      </c>
      <c r="M45" s="1478"/>
      <c r="N45" s="1454">
        <f t="shared" si="6"/>
        <v>0</v>
      </c>
      <c r="O45"/>
      <c r="P45"/>
    </row>
    <row r="46" spans="1:16" s="184" customFormat="1" x14ac:dyDescent="0.2">
      <c r="A46" s="362">
        <v>2</v>
      </c>
      <c r="B46" s="648" t="s">
        <v>87</v>
      </c>
      <c r="C46" s="99" t="s">
        <v>1024</v>
      </c>
      <c r="D46" s="1525"/>
      <c r="E46" s="1525"/>
      <c r="F46" s="1526"/>
      <c r="G46" s="1527"/>
      <c r="H46" s="111"/>
      <c r="I46" s="108"/>
      <c r="J46" s="1349"/>
      <c r="K46" s="1478">
        <v>1699482</v>
      </c>
      <c r="L46" s="1454">
        <f t="shared" ref="L46" si="12">J46+K46</f>
        <v>1699482</v>
      </c>
      <c r="M46" s="1478"/>
      <c r="N46" s="1454">
        <f t="shared" si="6"/>
        <v>1699482</v>
      </c>
      <c r="O46"/>
      <c r="P46"/>
    </row>
    <row r="47" spans="1:16" s="184" customFormat="1" x14ac:dyDescent="0.2">
      <c r="A47" s="362">
        <v>2</v>
      </c>
      <c r="B47" s="648" t="s">
        <v>534</v>
      </c>
      <c r="C47" s="99" t="s">
        <v>1024</v>
      </c>
      <c r="D47" s="1525"/>
      <c r="E47" s="1525"/>
      <c r="F47" s="1526"/>
      <c r="G47" s="1527"/>
      <c r="H47" s="111"/>
      <c r="I47" s="108"/>
      <c r="J47" s="1349"/>
      <c r="K47" s="1478">
        <f>H43*176000</f>
        <v>107360</v>
      </c>
      <c r="L47" s="1454">
        <f t="shared" si="5"/>
        <v>107360</v>
      </c>
      <c r="M47" s="1478"/>
      <c r="N47" s="1454">
        <f t="shared" si="6"/>
        <v>107360</v>
      </c>
      <c r="O47"/>
      <c r="P47"/>
    </row>
    <row r="48" spans="1:16" s="184" customFormat="1" ht="15" x14ac:dyDescent="0.25">
      <c r="A48" s="364"/>
      <c r="B48" s="653"/>
      <c r="C48" s="267" t="s">
        <v>498</v>
      </c>
      <c r="D48" s="268"/>
      <c r="E48" s="267"/>
      <c r="F48" s="269"/>
      <c r="G48" s="1351">
        <f>SUM(G38:G45)</f>
        <v>25620288.896452542</v>
      </c>
      <c r="H48" s="117"/>
      <c r="I48" s="103">
        <f>SUM(I38:I45)</f>
        <v>124938</v>
      </c>
      <c r="J48" s="1477">
        <f t="shared" si="11"/>
        <v>25745226.896452542</v>
      </c>
      <c r="K48" s="286">
        <f>SUM(K38:K47)</f>
        <v>1806842</v>
      </c>
      <c r="L48" s="1455">
        <f t="shared" si="5"/>
        <v>27552068.896452542</v>
      </c>
      <c r="M48" s="286">
        <f>SUM(M38:M47)</f>
        <v>974</v>
      </c>
      <c r="N48" s="1455">
        <f t="shared" si="6"/>
        <v>27553042.896452542</v>
      </c>
      <c r="O48"/>
      <c r="P48"/>
    </row>
    <row r="49" spans="1:16" s="184" customFormat="1" ht="15.75" thickBot="1" x14ac:dyDescent="0.3">
      <c r="A49" s="433"/>
      <c r="B49" s="654"/>
      <c r="C49" s="434"/>
      <c r="D49" s="435"/>
      <c r="E49" s="434"/>
      <c r="F49" s="436"/>
      <c r="G49" s="1352"/>
      <c r="H49" s="435"/>
      <c r="I49" s="436"/>
      <c r="J49" s="1352"/>
      <c r="K49" s="1524"/>
      <c r="L49" s="1480">
        <f t="shared" si="5"/>
        <v>0</v>
      </c>
      <c r="M49" s="1524"/>
      <c r="N49" s="1480">
        <f t="shared" si="6"/>
        <v>0</v>
      </c>
      <c r="O49"/>
      <c r="P49"/>
    </row>
    <row r="50" spans="1:16" s="184" customFormat="1" ht="26.25" thickBot="1" x14ac:dyDescent="0.3">
      <c r="A50" s="1646" t="s">
        <v>84</v>
      </c>
      <c r="B50" s="1647" t="s">
        <v>85</v>
      </c>
      <c r="C50" s="1648" t="s">
        <v>86</v>
      </c>
      <c r="D50" s="1664"/>
      <c r="E50" s="1665" t="s">
        <v>56</v>
      </c>
      <c r="F50" s="1666" t="s">
        <v>57</v>
      </c>
      <c r="G50" s="1652" t="s">
        <v>332</v>
      </c>
      <c r="H50" s="1653" t="s">
        <v>992</v>
      </c>
      <c r="I50" s="1667" t="s">
        <v>989</v>
      </c>
      <c r="J50" s="1668" t="s">
        <v>990</v>
      </c>
      <c r="K50" s="1669" t="s">
        <v>1022</v>
      </c>
      <c r="L50" s="1670" t="s">
        <v>1023</v>
      </c>
      <c r="M50" s="1669" t="s">
        <v>1112</v>
      </c>
      <c r="N50" s="1671" t="s">
        <v>1113</v>
      </c>
      <c r="O50"/>
      <c r="P50"/>
    </row>
    <row r="51" spans="1:16" s="184" customFormat="1" ht="42.75" x14ac:dyDescent="0.2">
      <c r="A51" s="1638">
        <v>2</v>
      </c>
      <c r="B51" s="1660" t="s">
        <v>536</v>
      </c>
      <c r="C51" s="1661" t="s">
        <v>470</v>
      </c>
      <c r="D51" s="744"/>
      <c r="E51" s="748">
        <v>3</v>
      </c>
      <c r="F51" s="1662">
        <f>'[4]2b. tábla (3)'!D60</f>
        <v>4419000</v>
      </c>
      <c r="G51" s="1663">
        <f>F51*E51</f>
        <v>13257000</v>
      </c>
      <c r="H51" s="744">
        <v>3</v>
      </c>
      <c r="I51" s="1662"/>
      <c r="J51" s="1663">
        <f>G51+I51</f>
        <v>13257000</v>
      </c>
      <c r="K51" s="1644"/>
      <c r="L51" s="1645">
        <f t="shared" si="5"/>
        <v>13257000</v>
      </c>
      <c r="M51" s="1658"/>
      <c r="N51" s="1454">
        <f t="shared" ref="N51:N94" si="13">L51+M51</f>
        <v>13257000</v>
      </c>
      <c r="O51"/>
      <c r="P51"/>
    </row>
    <row r="52" spans="1:16" s="184" customFormat="1" ht="42.75" x14ac:dyDescent="0.2">
      <c r="A52" s="362">
        <v>2</v>
      </c>
      <c r="B52" s="397" t="s">
        <v>537</v>
      </c>
      <c r="C52" s="121" t="s">
        <v>471</v>
      </c>
      <c r="D52" s="111"/>
      <c r="E52" s="106">
        <v>5.5</v>
      </c>
      <c r="F52" s="108">
        <f>'[4]2b. tábla (3)'!D61</f>
        <v>2993000</v>
      </c>
      <c r="G52" s="1322">
        <f>F52*E52</f>
        <v>16461500</v>
      </c>
      <c r="H52" s="111">
        <v>5.5</v>
      </c>
      <c r="I52" s="108"/>
      <c r="J52" s="1322">
        <f t="shared" ref="J52:J61" si="14">G52+I52</f>
        <v>16461500</v>
      </c>
      <c r="K52" s="1478"/>
      <c r="L52" s="1454">
        <f t="shared" si="5"/>
        <v>16461500</v>
      </c>
      <c r="M52" s="1478"/>
      <c r="N52" s="1454">
        <f t="shared" si="13"/>
        <v>16461500</v>
      </c>
      <c r="O52"/>
      <c r="P52"/>
    </row>
    <row r="53" spans="1:16" s="184" customFormat="1" x14ac:dyDescent="0.2">
      <c r="A53" s="362">
        <v>2</v>
      </c>
      <c r="B53" s="397" t="s">
        <v>538</v>
      </c>
      <c r="C53" s="99" t="s">
        <v>539</v>
      </c>
      <c r="D53" s="111"/>
      <c r="E53" s="106"/>
      <c r="F53" s="108"/>
      <c r="G53" s="1322">
        <v>11521000</v>
      </c>
      <c r="H53" s="111"/>
      <c r="I53" s="108">
        <v>-2107000</v>
      </c>
      <c r="J53" s="1322">
        <f t="shared" si="14"/>
        <v>9414000</v>
      </c>
      <c r="K53" s="1478"/>
      <c r="L53" s="1454">
        <f t="shared" si="5"/>
        <v>9414000</v>
      </c>
      <c r="M53" s="1478"/>
      <c r="N53" s="1454">
        <f t="shared" si="13"/>
        <v>9414000</v>
      </c>
      <c r="O53"/>
      <c r="P53"/>
    </row>
    <row r="54" spans="1:16" s="184" customFormat="1" x14ac:dyDescent="0.2">
      <c r="A54" s="362">
        <v>2</v>
      </c>
      <c r="B54" s="397" t="s">
        <v>534</v>
      </c>
      <c r="C54" s="99" t="s">
        <v>89</v>
      </c>
      <c r="D54" s="111"/>
      <c r="E54" s="106">
        <f>37/1043*23.9</f>
        <v>0.84784276126558</v>
      </c>
      <c r="F54" s="108">
        <v>2200000</v>
      </c>
      <c r="G54" s="1349">
        <f>E54*F54</f>
        <v>1865254.0747842761</v>
      </c>
      <c r="H54" s="1355">
        <v>0.79</v>
      </c>
      <c r="I54" s="1356">
        <v>-134218</v>
      </c>
      <c r="J54" s="1322">
        <f t="shared" si="14"/>
        <v>1731036.0747842761</v>
      </c>
      <c r="K54" s="1478"/>
      <c r="L54" s="1454">
        <f t="shared" si="5"/>
        <v>1731036.0747842761</v>
      </c>
      <c r="M54" s="1478"/>
      <c r="N54" s="1454">
        <f t="shared" si="13"/>
        <v>1731036.0747842761</v>
      </c>
      <c r="O54"/>
      <c r="P54"/>
    </row>
    <row r="55" spans="1:16" s="184" customFormat="1" x14ac:dyDescent="0.2">
      <c r="A55" s="362">
        <v>2</v>
      </c>
      <c r="B55" s="397" t="s">
        <v>535</v>
      </c>
      <c r="C55" s="99" t="s">
        <v>90</v>
      </c>
      <c r="D55" s="111"/>
      <c r="E55" s="106"/>
      <c r="F55" s="108"/>
      <c r="G55" s="1322">
        <v>2060701</v>
      </c>
      <c r="H55" s="111"/>
      <c r="I55" s="108">
        <f>J55-G55</f>
        <v>-239439</v>
      </c>
      <c r="J55" s="1322">
        <v>1821262</v>
      </c>
      <c r="K55" s="1478"/>
      <c r="L55" s="1454">
        <f t="shared" si="5"/>
        <v>1821262</v>
      </c>
      <c r="M55" s="1478"/>
      <c r="N55" s="1454">
        <f t="shared" si="13"/>
        <v>1821262</v>
      </c>
      <c r="O55"/>
      <c r="P55"/>
    </row>
    <row r="56" spans="1:16" s="184" customFormat="1" x14ac:dyDescent="0.2">
      <c r="A56" s="402">
        <v>2</v>
      </c>
      <c r="B56" s="650" t="s">
        <v>167</v>
      </c>
      <c r="C56" s="99" t="s">
        <v>649</v>
      </c>
      <c r="D56" s="111"/>
      <c r="E56" s="106"/>
      <c r="F56" s="108"/>
      <c r="G56" s="1322"/>
      <c r="H56" s="111"/>
      <c r="I56" s="108">
        <v>80136</v>
      </c>
      <c r="J56" s="1322">
        <f t="shared" si="14"/>
        <v>80136</v>
      </c>
      <c r="K56" s="1478">
        <f>24232+12012</f>
        <v>36244</v>
      </c>
      <c r="L56" s="1454">
        <f t="shared" si="5"/>
        <v>116380</v>
      </c>
      <c r="M56" s="1478">
        <v>36036</v>
      </c>
      <c r="N56" s="1454">
        <f t="shared" si="13"/>
        <v>152416</v>
      </c>
      <c r="O56"/>
      <c r="P56"/>
    </row>
    <row r="57" spans="1:16" s="184" customFormat="1" x14ac:dyDescent="0.2">
      <c r="A57" s="402">
        <v>2</v>
      </c>
      <c r="B57" s="648" t="s">
        <v>540</v>
      </c>
      <c r="C57" s="121" t="s">
        <v>531</v>
      </c>
      <c r="D57" s="111"/>
      <c r="E57" s="106"/>
      <c r="F57" s="108"/>
      <c r="G57" s="1322"/>
      <c r="H57" s="111"/>
      <c r="I57" s="108">
        <v>192551</v>
      </c>
      <c r="J57" s="1322">
        <f t="shared" si="14"/>
        <v>192551</v>
      </c>
      <c r="K57" s="1478">
        <f>44260+21940</f>
        <v>66200</v>
      </c>
      <c r="L57" s="1454">
        <f t="shared" si="5"/>
        <v>258751</v>
      </c>
      <c r="M57" s="1478">
        <v>65820</v>
      </c>
      <c r="N57" s="1454">
        <f t="shared" si="13"/>
        <v>324571</v>
      </c>
      <c r="O57"/>
      <c r="P57"/>
    </row>
    <row r="58" spans="1:16" s="184" customFormat="1" x14ac:dyDescent="0.2">
      <c r="A58" s="402"/>
      <c r="B58" s="1528"/>
      <c r="C58" s="121" t="s">
        <v>1031</v>
      </c>
      <c r="D58" s="111"/>
      <c r="E58" s="106"/>
      <c r="F58" s="108"/>
      <c r="G58" s="1322"/>
      <c r="H58" s="111"/>
      <c r="I58" s="108"/>
      <c r="J58" s="1322"/>
      <c r="K58" s="1478">
        <v>1252000</v>
      </c>
      <c r="L58" s="1454">
        <f t="shared" si="5"/>
        <v>1252000</v>
      </c>
      <c r="M58" s="1478"/>
      <c r="N58" s="1454">
        <f t="shared" si="13"/>
        <v>1252000</v>
      </c>
      <c r="O58"/>
      <c r="P58"/>
    </row>
    <row r="59" spans="1:16" s="184" customFormat="1" x14ac:dyDescent="0.2">
      <c r="A59" s="402"/>
      <c r="B59" s="1528"/>
      <c r="C59" s="121" t="s">
        <v>1031</v>
      </c>
      <c r="D59" s="111"/>
      <c r="E59" s="106"/>
      <c r="F59" s="108"/>
      <c r="G59" s="1322"/>
      <c r="H59" s="111"/>
      <c r="I59" s="108"/>
      <c r="J59" s="1322"/>
      <c r="K59" s="1478">
        <v>2871000</v>
      </c>
      <c r="L59" s="1454">
        <f t="shared" si="5"/>
        <v>2871000</v>
      </c>
      <c r="M59" s="1478"/>
      <c r="N59" s="1454">
        <f t="shared" si="13"/>
        <v>2871000</v>
      </c>
      <c r="O59"/>
      <c r="P59"/>
    </row>
    <row r="60" spans="1:16" s="184" customFormat="1" x14ac:dyDescent="0.2">
      <c r="A60" s="362">
        <v>2</v>
      </c>
      <c r="B60" s="397" t="s">
        <v>534</v>
      </c>
      <c r="C60" s="121" t="s">
        <v>1031</v>
      </c>
      <c r="D60" s="111"/>
      <c r="E60" s="106"/>
      <c r="F60" s="108"/>
      <c r="G60" s="1322"/>
      <c r="H60" s="111"/>
      <c r="I60" s="108"/>
      <c r="J60" s="1322"/>
      <c r="K60" s="1478">
        <f>H54*176000</f>
        <v>139040</v>
      </c>
      <c r="L60" s="1454">
        <f t="shared" si="5"/>
        <v>139040</v>
      </c>
      <c r="M60" s="1478"/>
      <c r="N60" s="1454">
        <f t="shared" si="13"/>
        <v>139040</v>
      </c>
      <c r="O60"/>
      <c r="P60"/>
    </row>
    <row r="61" spans="1:16" s="184" customFormat="1" ht="15" x14ac:dyDescent="0.25">
      <c r="A61" s="402"/>
      <c r="B61" s="655"/>
      <c r="C61" s="100" t="s">
        <v>494</v>
      </c>
      <c r="D61" s="117"/>
      <c r="E61" s="100"/>
      <c r="F61" s="103"/>
      <c r="G61" s="1350">
        <f>SUM(G51:G57)</f>
        <v>45165455.074784279</v>
      </c>
      <c r="H61" s="117"/>
      <c r="I61" s="103">
        <f>SUM(I51:I57)</f>
        <v>-2207970</v>
      </c>
      <c r="J61" s="1350">
        <f t="shared" si="14"/>
        <v>42957485.074784279</v>
      </c>
      <c r="K61" s="286">
        <f>SUM(K51:K60)</f>
        <v>4364484</v>
      </c>
      <c r="L61" s="1455">
        <f t="shared" si="5"/>
        <v>47321969.074784279</v>
      </c>
      <c r="M61" s="286">
        <f>SUM(M51:M60)</f>
        <v>101856</v>
      </c>
      <c r="N61" s="1455">
        <f t="shared" si="13"/>
        <v>47423825.074784279</v>
      </c>
      <c r="O61"/>
      <c r="P61"/>
    </row>
    <row r="62" spans="1:16" s="184" customFormat="1" ht="15" x14ac:dyDescent="0.25">
      <c r="A62" s="362"/>
      <c r="B62" s="655"/>
      <c r="C62" s="398"/>
      <c r="D62" s="399"/>
      <c r="E62" s="398"/>
      <c r="F62" s="401"/>
      <c r="G62" s="1448"/>
      <c r="H62" s="117"/>
      <c r="I62" s="103"/>
      <c r="J62" s="1350"/>
      <c r="K62" s="1478"/>
      <c r="L62" s="1454">
        <f t="shared" si="5"/>
        <v>0</v>
      </c>
      <c r="M62" s="1478"/>
      <c r="N62" s="1454">
        <f t="shared" si="13"/>
        <v>0</v>
      </c>
      <c r="O62"/>
      <c r="P62"/>
    </row>
    <row r="63" spans="1:16" s="184" customFormat="1" ht="15" x14ac:dyDescent="0.25">
      <c r="A63" s="362"/>
      <c r="B63" s="648" t="s">
        <v>92</v>
      </c>
      <c r="C63" s="398" t="s">
        <v>93</v>
      </c>
      <c r="D63" s="399"/>
      <c r="E63" s="400"/>
      <c r="F63" s="401"/>
      <c r="G63" s="1353"/>
      <c r="H63" s="1357"/>
      <c r="I63" s="1358"/>
      <c r="J63" s="1474"/>
      <c r="K63" s="1478"/>
      <c r="L63" s="1454">
        <f t="shared" si="5"/>
        <v>0</v>
      </c>
      <c r="M63" s="1478"/>
      <c r="N63" s="1454">
        <f t="shared" si="13"/>
        <v>0</v>
      </c>
      <c r="O63"/>
      <c r="P63"/>
    </row>
    <row r="64" spans="1:16" s="184" customFormat="1" x14ac:dyDescent="0.2">
      <c r="A64" s="437">
        <v>2</v>
      </c>
      <c r="B64" s="656" t="s">
        <v>650</v>
      </c>
      <c r="C64" s="114" t="s">
        <v>351</v>
      </c>
      <c r="D64" s="118"/>
      <c r="E64" s="106">
        <v>7.6</v>
      </c>
      <c r="F64" s="96">
        <v>3400000</v>
      </c>
      <c r="G64" s="1322">
        <v>25840000</v>
      </c>
      <c r="H64" s="111">
        <v>7.4</v>
      </c>
      <c r="I64" s="108">
        <v>2132000</v>
      </c>
      <c r="J64" s="1322">
        <f>I64+G64</f>
        <v>27972000</v>
      </c>
      <c r="K64" s="1478"/>
      <c r="L64" s="1454">
        <f t="shared" si="5"/>
        <v>27972000</v>
      </c>
      <c r="M64" s="1478"/>
      <c r="N64" s="1454">
        <f t="shared" si="13"/>
        <v>27972000</v>
      </c>
      <c r="O64"/>
      <c r="P64"/>
    </row>
    <row r="65" spans="1:16" s="184" customFormat="1" x14ac:dyDescent="0.2">
      <c r="A65" s="362">
        <v>2</v>
      </c>
      <c r="B65" s="656" t="s">
        <v>651</v>
      </c>
      <c r="C65" s="114" t="s">
        <v>352</v>
      </c>
      <c r="D65" s="118"/>
      <c r="E65" s="106">
        <v>4.7</v>
      </c>
      <c r="F65" s="96">
        <v>3300000</v>
      </c>
      <c r="G65" s="1322">
        <f>E65*F65</f>
        <v>15510000</v>
      </c>
      <c r="H65" s="111">
        <v>4.7</v>
      </c>
      <c r="I65" s="108"/>
      <c r="J65" s="1322">
        <f t="shared" ref="J65:J83" si="15">I65+G65</f>
        <v>15510000</v>
      </c>
      <c r="K65" s="1478"/>
      <c r="L65" s="1454">
        <f t="shared" si="5"/>
        <v>15510000</v>
      </c>
      <c r="M65" s="1478"/>
      <c r="N65" s="1454">
        <f t="shared" si="13"/>
        <v>15510000</v>
      </c>
      <c r="O65"/>
      <c r="P65"/>
    </row>
    <row r="66" spans="1:16" s="184" customFormat="1" x14ac:dyDescent="0.2">
      <c r="A66" s="437">
        <v>2</v>
      </c>
      <c r="B66" s="648" t="s">
        <v>94</v>
      </c>
      <c r="C66" s="99" t="s">
        <v>70</v>
      </c>
      <c r="D66" s="108"/>
      <c r="E66" s="108">
        <v>79</v>
      </c>
      <c r="F66" s="96">
        <v>65360</v>
      </c>
      <c r="G66" s="1322">
        <f>E66*F66</f>
        <v>5163440</v>
      </c>
      <c r="H66" s="111">
        <v>79</v>
      </c>
      <c r="I66" s="108"/>
      <c r="J66" s="1322">
        <f t="shared" si="15"/>
        <v>5163440</v>
      </c>
      <c r="K66" s="1478"/>
      <c r="L66" s="1454">
        <f t="shared" si="5"/>
        <v>5163440</v>
      </c>
      <c r="M66" s="1478">
        <v>-457520</v>
      </c>
      <c r="N66" s="1454">
        <f t="shared" si="13"/>
        <v>4705920</v>
      </c>
      <c r="O66"/>
      <c r="P66"/>
    </row>
    <row r="67" spans="1:16" s="184" customFormat="1" x14ac:dyDescent="0.2">
      <c r="A67" s="362">
        <v>2</v>
      </c>
      <c r="B67" s="397" t="s">
        <v>512</v>
      </c>
      <c r="C67" s="99" t="s">
        <v>455</v>
      </c>
      <c r="D67" s="108"/>
      <c r="E67" s="108">
        <v>2</v>
      </c>
      <c r="F67" s="96">
        <v>25000</v>
      </c>
      <c r="G67" s="1322">
        <f>E67*F67</f>
        <v>50000</v>
      </c>
      <c r="H67" s="111">
        <v>1</v>
      </c>
      <c r="I67" s="108">
        <v>-25000</v>
      </c>
      <c r="J67" s="1322">
        <f t="shared" si="15"/>
        <v>25000</v>
      </c>
      <c r="K67" s="1478"/>
      <c r="L67" s="1454">
        <f t="shared" si="5"/>
        <v>25000</v>
      </c>
      <c r="M67" s="1478"/>
      <c r="N67" s="1454">
        <f t="shared" si="13"/>
        <v>25000</v>
      </c>
      <c r="O67"/>
      <c r="P67"/>
    </row>
    <row r="68" spans="1:16" s="184" customFormat="1" ht="27" customHeight="1" x14ac:dyDescent="0.2">
      <c r="A68" s="362">
        <v>2</v>
      </c>
      <c r="B68" s="438" t="s">
        <v>652</v>
      </c>
      <c r="C68" s="121" t="s">
        <v>511</v>
      </c>
      <c r="D68" s="108"/>
      <c r="E68" s="108">
        <v>28</v>
      </c>
      <c r="F68" s="96">
        <v>429000</v>
      </c>
      <c r="G68" s="1322">
        <f>F68*E68</f>
        <v>12012000</v>
      </c>
      <c r="H68" s="111">
        <v>20</v>
      </c>
      <c r="I68" s="108">
        <v>-3432000</v>
      </c>
      <c r="J68" s="1322">
        <f t="shared" si="15"/>
        <v>8580000</v>
      </c>
      <c r="K68" s="1478"/>
      <c r="L68" s="1454">
        <f t="shared" si="5"/>
        <v>8580000</v>
      </c>
      <c r="M68" s="1478"/>
      <c r="N68" s="1454">
        <f t="shared" si="13"/>
        <v>8580000</v>
      </c>
      <c r="O68"/>
      <c r="P68"/>
    </row>
    <row r="69" spans="1:16" s="184" customFormat="1" ht="28.5" x14ac:dyDescent="0.2">
      <c r="A69" s="362">
        <v>2</v>
      </c>
      <c r="B69" s="397" t="s">
        <v>95</v>
      </c>
      <c r="C69" s="121" t="s">
        <v>353</v>
      </c>
      <c r="D69" s="108"/>
      <c r="E69" s="108">
        <v>43</v>
      </c>
      <c r="F69" s="109">
        <v>285000</v>
      </c>
      <c r="G69" s="1322">
        <f>F69*E69</f>
        <v>12255000</v>
      </c>
      <c r="H69" s="111">
        <v>39</v>
      </c>
      <c r="I69" s="108">
        <v>-1140000</v>
      </c>
      <c r="J69" s="1322">
        <f t="shared" si="15"/>
        <v>11115000</v>
      </c>
      <c r="K69" s="1478"/>
      <c r="L69" s="1454">
        <f t="shared" si="5"/>
        <v>11115000</v>
      </c>
      <c r="M69" s="1478"/>
      <c r="N69" s="1454">
        <f t="shared" si="13"/>
        <v>11115000</v>
      </c>
      <c r="O69"/>
      <c r="P69"/>
    </row>
    <row r="70" spans="1:16" s="184" customFormat="1" ht="28.5" x14ac:dyDescent="0.2">
      <c r="A70" s="362">
        <v>2</v>
      </c>
      <c r="B70" s="397" t="s">
        <v>96</v>
      </c>
      <c r="C70" s="122" t="s">
        <v>71</v>
      </c>
      <c r="D70" s="115"/>
      <c r="E70" s="115"/>
      <c r="F70" s="116"/>
      <c r="G70" s="1354">
        <f>G71+G72+G73</f>
        <v>25920180</v>
      </c>
      <c r="H70" s="1354">
        <f t="shared" ref="H70:I70" si="16">H71+H72+H73</f>
        <v>32</v>
      </c>
      <c r="I70" s="1354">
        <f t="shared" si="16"/>
        <v>-6214780</v>
      </c>
      <c r="J70" s="1322">
        <f t="shared" si="15"/>
        <v>19705400</v>
      </c>
      <c r="K70" s="1478"/>
      <c r="L70" s="1454">
        <f t="shared" si="5"/>
        <v>19705400</v>
      </c>
      <c r="M70" s="1478"/>
      <c r="N70" s="1454">
        <f t="shared" si="13"/>
        <v>19705400</v>
      </c>
      <c r="O70"/>
      <c r="P70"/>
    </row>
    <row r="71" spans="1:16" s="184" customFormat="1" x14ac:dyDescent="0.2">
      <c r="A71" s="362">
        <v>2</v>
      </c>
      <c r="B71" s="648" t="s">
        <v>513</v>
      </c>
      <c r="C71" s="99" t="s">
        <v>72</v>
      </c>
      <c r="D71" s="108"/>
      <c r="E71" s="108">
        <v>20</v>
      </c>
      <c r="F71" s="96">
        <v>757900</v>
      </c>
      <c r="G71" s="1322">
        <f>F71*E71</f>
        <v>15158000</v>
      </c>
      <c r="H71" s="111">
        <v>15</v>
      </c>
      <c r="I71" s="108">
        <v>-3789500</v>
      </c>
      <c r="J71" s="1322">
        <f t="shared" si="15"/>
        <v>11368500</v>
      </c>
      <c r="K71" s="1478"/>
      <c r="L71" s="1454">
        <f t="shared" si="5"/>
        <v>11368500</v>
      </c>
      <c r="M71" s="1478"/>
      <c r="N71" s="1454">
        <f t="shared" si="13"/>
        <v>11368500</v>
      </c>
      <c r="O71"/>
      <c r="P71"/>
    </row>
    <row r="72" spans="1:16" s="184" customFormat="1" ht="28.5" x14ac:dyDescent="0.2">
      <c r="A72" s="362"/>
      <c r="B72" s="648" t="s">
        <v>514</v>
      </c>
      <c r="C72" s="121" t="s">
        <v>73</v>
      </c>
      <c r="D72" s="108"/>
      <c r="E72" s="108">
        <v>17</v>
      </c>
      <c r="F72" s="96">
        <v>454740</v>
      </c>
      <c r="G72" s="1322">
        <f>F72*E72</f>
        <v>7730580</v>
      </c>
      <c r="H72" s="111">
        <v>15</v>
      </c>
      <c r="I72" s="108">
        <v>-909480</v>
      </c>
      <c r="J72" s="1322">
        <f t="shared" si="15"/>
        <v>6821100</v>
      </c>
      <c r="K72" s="1478"/>
      <c r="L72" s="1454">
        <f t="shared" si="5"/>
        <v>6821100</v>
      </c>
      <c r="M72" s="1478"/>
      <c r="N72" s="1454">
        <f t="shared" si="13"/>
        <v>6821100</v>
      </c>
      <c r="O72"/>
      <c r="P72"/>
    </row>
    <row r="73" spans="1:16" s="184" customFormat="1" ht="28.5" x14ac:dyDescent="0.2">
      <c r="A73" s="362">
        <v>2</v>
      </c>
      <c r="B73" s="648" t="s">
        <v>515</v>
      </c>
      <c r="C73" s="342" t="s">
        <v>308</v>
      </c>
      <c r="D73" s="108"/>
      <c r="E73" s="108">
        <v>4</v>
      </c>
      <c r="F73" s="96">
        <v>757900</v>
      </c>
      <c r="G73" s="1322">
        <f>F73*E73</f>
        <v>3031600</v>
      </c>
      <c r="H73" s="111">
        <v>2</v>
      </c>
      <c r="I73" s="108">
        <v>-1515800</v>
      </c>
      <c r="J73" s="1322">
        <f t="shared" si="15"/>
        <v>1515800</v>
      </c>
      <c r="K73" s="1478"/>
      <c r="L73" s="1454">
        <f t="shared" si="5"/>
        <v>1515800</v>
      </c>
      <c r="M73" s="1478"/>
      <c r="N73" s="1454">
        <f t="shared" si="13"/>
        <v>1515800</v>
      </c>
      <c r="O73"/>
      <c r="P73"/>
    </row>
    <row r="74" spans="1:16" s="184" customFormat="1" x14ac:dyDescent="0.2">
      <c r="A74" s="362">
        <v>2</v>
      </c>
      <c r="B74" s="648" t="s">
        <v>653</v>
      </c>
      <c r="C74" s="110" t="s">
        <v>528</v>
      </c>
      <c r="D74" s="108"/>
      <c r="E74" s="108"/>
      <c r="F74" s="96"/>
      <c r="G74" s="1322">
        <v>12442390</v>
      </c>
      <c r="H74" s="111"/>
      <c r="I74" s="108"/>
      <c r="J74" s="1322">
        <f t="shared" si="15"/>
        <v>12442390</v>
      </c>
      <c r="K74" s="1478"/>
      <c r="L74" s="1454">
        <f t="shared" si="5"/>
        <v>12442390</v>
      </c>
      <c r="M74" s="1478"/>
      <c r="N74" s="1454">
        <f t="shared" si="13"/>
        <v>12442390</v>
      </c>
      <c r="O74"/>
      <c r="P74"/>
    </row>
    <row r="75" spans="1:16" s="184" customFormat="1" x14ac:dyDescent="0.2">
      <c r="A75" s="362">
        <v>2</v>
      </c>
      <c r="B75" s="650" t="s">
        <v>167</v>
      </c>
      <c r="C75" s="99" t="s">
        <v>649</v>
      </c>
      <c r="D75" s="108"/>
      <c r="E75" s="108"/>
      <c r="F75" s="96"/>
      <c r="G75" s="1322"/>
      <c r="H75" s="111"/>
      <c r="I75" s="108">
        <v>651658</v>
      </c>
      <c r="J75" s="1322">
        <f t="shared" si="15"/>
        <v>651658</v>
      </c>
      <c r="K75" s="1478">
        <f>206204+102217</f>
        <v>308421</v>
      </c>
      <c r="L75" s="1454">
        <f t="shared" si="5"/>
        <v>960079</v>
      </c>
      <c r="M75" s="1478">
        <v>287840</v>
      </c>
      <c r="N75" s="1454">
        <f t="shared" si="13"/>
        <v>1247919</v>
      </c>
      <c r="O75"/>
      <c r="P75"/>
    </row>
    <row r="76" spans="1:16" s="184" customFormat="1" x14ac:dyDescent="0.2">
      <c r="A76" s="362">
        <v>2</v>
      </c>
      <c r="B76" s="648" t="s">
        <v>540</v>
      </c>
      <c r="C76" s="121" t="s">
        <v>531</v>
      </c>
      <c r="D76" s="108"/>
      <c r="E76" s="108"/>
      <c r="F76" s="96"/>
      <c r="G76" s="1322"/>
      <c r="H76" s="111"/>
      <c r="I76" s="108">
        <v>15841719</v>
      </c>
      <c r="J76" s="1322">
        <f t="shared" si="15"/>
        <v>15841719</v>
      </c>
      <c r="K76" s="1478">
        <f>5575743+2642752</f>
        <v>8218495</v>
      </c>
      <c r="L76" s="1454">
        <f t="shared" si="5"/>
        <v>24060214</v>
      </c>
      <c r="M76" s="1478">
        <v>8496038</v>
      </c>
      <c r="N76" s="1454">
        <f t="shared" si="13"/>
        <v>32556252</v>
      </c>
      <c r="O76"/>
      <c r="P76"/>
    </row>
    <row r="77" spans="1:16" s="184" customFormat="1" x14ac:dyDescent="0.2">
      <c r="A77" s="362"/>
      <c r="B77" s="648"/>
      <c r="C77" s="121" t="s">
        <v>1031</v>
      </c>
      <c r="D77" s="108"/>
      <c r="E77" s="108"/>
      <c r="F77" s="96"/>
      <c r="G77" s="1322"/>
      <c r="H77" s="1529"/>
      <c r="I77" s="1322"/>
      <c r="J77" s="1322"/>
      <c r="K77" s="1478">
        <v>7759300</v>
      </c>
      <c r="L77" s="1454">
        <f t="shared" si="5"/>
        <v>7759300</v>
      </c>
      <c r="M77" s="1478"/>
      <c r="N77" s="1454">
        <f t="shared" si="13"/>
        <v>7759300</v>
      </c>
      <c r="O77"/>
      <c r="P77"/>
    </row>
    <row r="78" spans="1:16" s="184" customFormat="1" ht="15" x14ac:dyDescent="0.25">
      <c r="A78" s="362">
        <v>2</v>
      </c>
      <c r="B78" s="651"/>
      <c r="C78" s="100" t="s">
        <v>497</v>
      </c>
      <c r="D78" s="123"/>
      <c r="E78" s="103"/>
      <c r="F78" s="104"/>
      <c r="G78" s="1350">
        <f>G64+G65+G66+G67+G69+G70+G68+G75+G76+G74</f>
        <v>109193010</v>
      </c>
      <c r="H78" s="1350"/>
      <c r="I78" s="1350">
        <f t="shared" ref="I78" si="17">I64+I65+I66+I67+I69+I70+I68+I75+I76+I74</f>
        <v>7813597</v>
      </c>
      <c r="J78" s="1350">
        <f t="shared" si="15"/>
        <v>117006607</v>
      </c>
      <c r="K78" s="286">
        <f>K64+K65+K66+K67+K69+K70+K68+K75+K76+K74+K77</f>
        <v>16286216</v>
      </c>
      <c r="L78" s="1455">
        <f t="shared" si="5"/>
        <v>133292823</v>
      </c>
      <c r="M78" s="286">
        <f>M64+M65+M66+M67+M69+M70+M68+M75+M76+M74+M77</f>
        <v>8326358</v>
      </c>
      <c r="N78" s="1455">
        <f t="shared" si="13"/>
        <v>141619181</v>
      </c>
      <c r="O78"/>
      <c r="P78"/>
    </row>
    <row r="79" spans="1:16" s="184" customFormat="1" ht="15" x14ac:dyDescent="0.25">
      <c r="A79" s="362"/>
      <c r="B79" s="648"/>
      <c r="C79" s="100"/>
      <c r="D79" s="123"/>
      <c r="E79" s="100"/>
      <c r="F79" s="103"/>
      <c r="G79" s="1350"/>
      <c r="H79" s="117"/>
      <c r="I79" s="103"/>
      <c r="J79" s="1322">
        <f t="shared" si="15"/>
        <v>0</v>
      </c>
      <c r="K79" s="1478"/>
      <c r="L79" s="1454">
        <f t="shared" si="5"/>
        <v>0</v>
      </c>
      <c r="M79" s="1478"/>
      <c r="N79" s="1454">
        <f t="shared" si="13"/>
        <v>0</v>
      </c>
      <c r="O79"/>
      <c r="P79"/>
    </row>
    <row r="80" spans="1:16" s="184" customFormat="1" ht="15" x14ac:dyDescent="0.25">
      <c r="A80" s="362">
        <v>2</v>
      </c>
      <c r="B80" s="648" t="s">
        <v>472</v>
      </c>
      <c r="C80" s="99" t="s">
        <v>97</v>
      </c>
      <c r="D80" s="117"/>
      <c r="E80" s="99">
        <v>39.18</v>
      </c>
      <c r="F80" s="108">
        <v>4580000</v>
      </c>
      <c r="G80" s="1322">
        <f>E80*F80</f>
        <v>179444400</v>
      </c>
      <c r="H80" s="111"/>
      <c r="I80" s="108">
        <v>35293127</v>
      </c>
      <c r="J80" s="1322">
        <f t="shared" si="15"/>
        <v>214737527</v>
      </c>
      <c r="K80" s="1478"/>
      <c r="L80" s="1454">
        <f t="shared" si="5"/>
        <v>214737527</v>
      </c>
      <c r="M80" s="1478"/>
      <c r="N80" s="1454">
        <f t="shared" si="13"/>
        <v>214737527</v>
      </c>
      <c r="O80"/>
      <c r="P80"/>
    </row>
    <row r="81" spans="1:16" s="184" customFormat="1" ht="15" x14ac:dyDescent="0.25">
      <c r="A81" s="362"/>
      <c r="B81" s="648" t="s">
        <v>167</v>
      </c>
      <c r="C81" s="99" t="s">
        <v>649</v>
      </c>
      <c r="D81" s="117"/>
      <c r="E81" s="99"/>
      <c r="F81" s="103"/>
      <c r="G81" s="1322"/>
      <c r="H81" s="111"/>
      <c r="I81" s="108">
        <v>41361</v>
      </c>
      <c r="J81" s="1322">
        <f t="shared" si="15"/>
        <v>41361</v>
      </c>
      <c r="K81" s="1478"/>
      <c r="L81" s="1454">
        <f t="shared" si="5"/>
        <v>41361</v>
      </c>
      <c r="M81" s="1478"/>
      <c r="N81" s="1454">
        <f t="shared" si="13"/>
        <v>41361</v>
      </c>
      <c r="O81"/>
      <c r="P81"/>
    </row>
    <row r="82" spans="1:16" s="184" customFormat="1" ht="15" x14ac:dyDescent="0.25">
      <c r="A82" s="362"/>
      <c r="B82" s="648"/>
      <c r="C82" s="121" t="s">
        <v>1031</v>
      </c>
      <c r="D82" s="117"/>
      <c r="E82" s="99"/>
      <c r="F82" s="103"/>
      <c r="G82" s="1322"/>
      <c r="H82" s="1529"/>
      <c r="I82" s="1322"/>
      <c r="J82" s="1322"/>
      <c r="K82" s="1478">
        <v>985035</v>
      </c>
      <c r="L82" s="1454">
        <f t="shared" si="5"/>
        <v>985035</v>
      </c>
      <c r="M82" s="1478"/>
      <c r="N82" s="1454">
        <f t="shared" si="13"/>
        <v>985035</v>
      </c>
      <c r="O82"/>
      <c r="P82"/>
    </row>
    <row r="83" spans="1:16" s="184" customFormat="1" ht="15" x14ac:dyDescent="0.25">
      <c r="A83" s="363"/>
      <c r="B83" s="657"/>
      <c r="C83" s="100" t="s">
        <v>496</v>
      </c>
      <c r="D83" s="123"/>
      <c r="E83" s="100"/>
      <c r="F83" s="103"/>
      <c r="G83" s="1350">
        <f>G80+G81</f>
        <v>179444400</v>
      </c>
      <c r="H83" s="1350">
        <f t="shared" ref="H83:I83" si="18">H80+H81</f>
        <v>0</v>
      </c>
      <c r="I83" s="1350">
        <f t="shared" si="18"/>
        <v>35334488</v>
      </c>
      <c r="J83" s="1350">
        <f t="shared" si="15"/>
        <v>214778888</v>
      </c>
      <c r="K83" s="286">
        <f>K80+K81+K82</f>
        <v>985035</v>
      </c>
      <c r="L83" s="1455">
        <f t="shared" si="5"/>
        <v>215763923</v>
      </c>
      <c r="M83" s="286">
        <f>M80+M81+M82</f>
        <v>0</v>
      </c>
      <c r="N83" s="1455">
        <f t="shared" si="13"/>
        <v>215763923</v>
      </c>
      <c r="O83"/>
      <c r="P83"/>
    </row>
    <row r="84" spans="1:16" s="184" customFormat="1" ht="15" x14ac:dyDescent="0.25">
      <c r="A84" s="362"/>
      <c r="B84" s="650"/>
      <c r="C84" s="100"/>
      <c r="D84" s="123"/>
      <c r="E84" s="99"/>
      <c r="F84" s="103"/>
      <c r="G84" s="1350"/>
      <c r="H84" s="117"/>
      <c r="I84" s="103"/>
      <c r="J84" s="1350"/>
      <c r="K84" s="1478"/>
      <c r="L84" s="1454">
        <f t="shared" si="5"/>
        <v>0</v>
      </c>
      <c r="M84" s="1478"/>
      <c r="N84" s="1454">
        <f t="shared" si="13"/>
        <v>0</v>
      </c>
      <c r="O84"/>
      <c r="P84"/>
    </row>
    <row r="85" spans="1:16" s="184" customFormat="1" x14ac:dyDescent="0.2">
      <c r="A85" s="362">
        <v>2</v>
      </c>
      <c r="B85" s="650" t="s">
        <v>654</v>
      </c>
      <c r="C85" s="99" t="s">
        <v>98</v>
      </c>
      <c r="D85" s="118"/>
      <c r="E85" s="108">
        <v>13637</v>
      </c>
      <c r="F85" s="108">
        <v>1251</v>
      </c>
      <c r="G85" s="1322">
        <f>E85*F85</f>
        <v>17059887</v>
      </c>
      <c r="H85" s="108">
        <v>1251</v>
      </c>
      <c r="I85" s="108"/>
      <c r="J85" s="1322">
        <f>I85+G85</f>
        <v>17059887</v>
      </c>
      <c r="K85" s="1478"/>
      <c r="L85" s="1454">
        <f t="shared" si="5"/>
        <v>17059887</v>
      </c>
      <c r="M85" s="1478"/>
      <c r="N85" s="1454">
        <f t="shared" si="13"/>
        <v>17059887</v>
      </c>
      <c r="O85"/>
      <c r="P85"/>
    </row>
    <row r="86" spans="1:16" s="184" customFormat="1" x14ac:dyDescent="0.2">
      <c r="A86" s="362">
        <v>2</v>
      </c>
      <c r="B86" s="650" t="s">
        <v>335</v>
      </c>
      <c r="C86" s="99" t="s">
        <v>333</v>
      </c>
      <c r="D86" s="118"/>
      <c r="E86" s="99"/>
      <c r="F86" s="108"/>
      <c r="G86" s="1322"/>
      <c r="H86" s="111"/>
      <c r="I86" s="108">
        <v>1278000</v>
      </c>
      <c r="J86" s="1322">
        <f t="shared" ref="J86:J90" si="19">I86+G86</f>
        <v>1278000</v>
      </c>
      <c r="K86" s="1478"/>
      <c r="L86" s="1454">
        <f t="shared" si="5"/>
        <v>1278000</v>
      </c>
      <c r="M86" s="1478"/>
      <c r="N86" s="1454">
        <f t="shared" si="13"/>
        <v>1278000</v>
      </c>
      <c r="O86"/>
      <c r="P86"/>
    </row>
    <row r="87" spans="1:16" s="184" customFormat="1" x14ac:dyDescent="0.2">
      <c r="A87" s="362">
        <v>2</v>
      </c>
      <c r="B87" s="650" t="s">
        <v>167</v>
      </c>
      <c r="C87" s="99" t="s">
        <v>649</v>
      </c>
      <c r="D87" s="118"/>
      <c r="E87" s="99"/>
      <c r="F87" s="108"/>
      <c r="G87" s="1322"/>
      <c r="H87" s="111"/>
      <c r="I87" s="108">
        <v>31491</v>
      </c>
      <c r="J87" s="1322">
        <f t="shared" si="19"/>
        <v>31491</v>
      </c>
      <c r="K87" s="1478">
        <f>7464+3234</f>
        <v>10698</v>
      </c>
      <c r="L87" s="1454">
        <f t="shared" si="5"/>
        <v>42189</v>
      </c>
      <c r="M87" s="1478">
        <v>9698</v>
      </c>
      <c r="N87" s="1454">
        <f t="shared" si="13"/>
        <v>51887</v>
      </c>
      <c r="O87"/>
      <c r="P87"/>
    </row>
    <row r="88" spans="1:16" s="184" customFormat="1" x14ac:dyDescent="0.2">
      <c r="A88" s="362">
        <v>2</v>
      </c>
      <c r="B88" s="362" t="s">
        <v>541</v>
      </c>
      <c r="C88" s="98" t="s">
        <v>532</v>
      </c>
      <c r="D88" s="118"/>
      <c r="E88" s="99"/>
      <c r="F88" s="108"/>
      <c r="G88" s="1322"/>
      <c r="H88" s="111"/>
      <c r="I88" s="108">
        <v>1755855</v>
      </c>
      <c r="J88" s="1322">
        <f t="shared" si="19"/>
        <v>1755855</v>
      </c>
      <c r="K88" s="1478">
        <f>579715+300993</f>
        <v>880708</v>
      </c>
      <c r="L88" s="1454">
        <f t="shared" ref="L88:L94" si="20">J88+K88</f>
        <v>2636563</v>
      </c>
      <c r="M88" s="1478">
        <v>870707</v>
      </c>
      <c r="N88" s="1454">
        <f t="shared" si="13"/>
        <v>3507270</v>
      </c>
      <c r="O88"/>
      <c r="P88"/>
    </row>
    <row r="89" spans="1:16" s="184" customFormat="1" x14ac:dyDescent="0.2">
      <c r="A89" s="362"/>
      <c r="B89" s="362"/>
      <c r="C89" s="121" t="s">
        <v>1031</v>
      </c>
      <c r="D89" s="118"/>
      <c r="E89" s="99"/>
      <c r="F89" s="108"/>
      <c r="G89" s="1322"/>
      <c r="H89" s="1529"/>
      <c r="I89" s="1322"/>
      <c r="J89" s="1322"/>
      <c r="K89" s="1478">
        <v>5863910</v>
      </c>
      <c r="L89" s="1454">
        <f t="shared" si="20"/>
        <v>5863910</v>
      </c>
      <c r="M89" s="1478"/>
      <c r="N89" s="1454">
        <f t="shared" si="13"/>
        <v>5863910</v>
      </c>
      <c r="O89"/>
      <c r="P89"/>
    </row>
    <row r="90" spans="1:16" s="184" customFormat="1" ht="15" x14ac:dyDescent="0.25">
      <c r="A90" s="362"/>
      <c r="B90" s="657"/>
      <c r="C90" s="100" t="s">
        <v>495</v>
      </c>
      <c r="D90" s="117"/>
      <c r="E90" s="100"/>
      <c r="F90" s="103"/>
      <c r="G90" s="1350">
        <f>G85+G86+G87+G88</f>
        <v>17059887</v>
      </c>
      <c r="H90" s="1350"/>
      <c r="I90" s="1350">
        <f>I85+I86+I87+I88</f>
        <v>3065346</v>
      </c>
      <c r="J90" s="1350">
        <f t="shared" si="19"/>
        <v>20125233</v>
      </c>
      <c r="K90" s="286">
        <f>K85+K86+K87+K88+K89</f>
        <v>6755316</v>
      </c>
      <c r="L90" s="1455">
        <f t="shared" si="20"/>
        <v>26880549</v>
      </c>
      <c r="M90" s="286">
        <f>M85+M86+M87+M88+M89</f>
        <v>880405</v>
      </c>
      <c r="N90" s="1455">
        <f t="shared" si="13"/>
        <v>27760954</v>
      </c>
      <c r="O90"/>
      <c r="P90"/>
    </row>
    <row r="91" spans="1:16" s="184" customFormat="1" ht="15" x14ac:dyDescent="0.25">
      <c r="A91" s="362"/>
      <c r="B91" s="657"/>
      <c r="C91" s="100"/>
      <c r="D91" s="117"/>
      <c r="E91" s="100"/>
      <c r="F91" s="103"/>
      <c r="G91" s="1350"/>
      <c r="H91" s="117"/>
      <c r="I91" s="103"/>
      <c r="J91" s="1350"/>
      <c r="K91" s="1478"/>
      <c r="L91" s="1454">
        <f t="shared" si="20"/>
        <v>0</v>
      </c>
      <c r="M91" s="1478"/>
      <c r="N91" s="1454">
        <f t="shared" si="13"/>
        <v>0</v>
      </c>
      <c r="O91"/>
      <c r="P91"/>
    </row>
    <row r="92" spans="1:16" s="184" customFormat="1" ht="15" x14ac:dyDescent="0.25">
      <c r="A92" s="362" t="s">
        <v>344</v>
      </c>
      <c r="B92" s="650" t="s">
        <v>167</v>
      </c>
      <c r="C92" s="99" t="s">
        <v>649</v>
      </c>
      <c r="D92" s="117"/>
      <c r="E92" s="100"/>
      <c r="F92" s="103"/>
      <c r="G92" s="1322"/>
      <c r="H92" s="111"/>
      <c r="I92" s="108">
        <v>363079</v>
      </c>
      <c r="J92" s="1322">
        <f>I92+G92</f>
        <v>363079</v>
      </c>
      <c r="K92" s="1478">
        <f>109512+54286</f>
        <v>163798</v>
      </c>
      <c r="L92" s="1454">
        <f t="shared" si="20"/>
        <v>526877</v>
      </c>
      <c r="M92" s="1478">
        <f>54286+54286+53939</f>
        <v>162511</v>
      </c>
      <c r="N92" s="1454">
        <f t="shared" si="13"/>
        <v>689388</v>
      </c>
      <c r="O92"/>
      <c r="P92"/>
    </row>
    <row r="93" spans="1:16" s="184" customFormat="1" ht="15" x14ac:dyDescent="0.25">
      <c r="A93" s="362"/>
      <c r="B93" s="657"/>
      <c r="C93" s="100" t="s">
        <v>493</v>
      </c>
      <c r="D93" s="117"/>
      <c r="E93" s="100"/>
      <c r="F93" s="103"/>
      <c r="G93" s="1350">
        <f>G92</f>
        <v>0</v>
      </c>
      <c r="H93" s="1350">
        <f t="shared" ref="H93:K93" si="21">H92</f>
        <v>0</v>
      </c>
      <c r="I93" s="1350">
        <f t="shared" si="21"/>
        <v>363079</v>
      </c>
      <c r="J93" s="1350">
        <f t="shared" si="21"/>
        <v>363079</v>
      </c>
      <c r="K93" s="286">
        <f t="shared" si="21"/>
        <v>163798</v>
      </c>
      <c r="L93" s="1455">
        <f t="shared" si="20"/>
        <v>526877</v>
      </c>
      <c r="M93" s="286">
        <f t="shared" ref="M93" si="22">M92</f>
        <v>162511</v>
      </c>
      <c r="N93" s="1455">
        <f t="shared" si="13"/>
        <v>689388</v>
      </c>
      <c r="O93"/>
      <c r="P93"/>
    </row>
    <row r="94" spans="1:16" s="184" customFormat="1" ht="15.75" thickBot="1" x14ac:dyDescent="0.3">
      <c r="A94" s="1452"/>
      <c r="B94" s="659"/>
      <c r="C94" s="126"/>
      <c r="D94" s="125"/>
      <c r="E94" s="126"/>
      <c r="F94" s="127"/>
      <c r="G94" s="1453"/>
      <c r="H94" s="125"/>
      <c r="I94" s="127"/>
      <c r="J94" s="1453"/>
      <c r="K94" s="1524"/>
      <c r="L94" s="1480">
        <f t="shared" si="20"/>
        <v>0</v>
      </c>
      <c r="M94" s="1524"/>
      <c r="N94" s="1480">
        <f t="shared" si="13"/>
        <v>0</v>
      </c>
      <c r="O94"/>
      <c r="P94"/>
    </row>
    <row r="95" spans="1:16" s="184" customFormat="1" ht="27" thickBot="1" x14ac:dyDescent="0.3">
      <c r="A95" s="1646" t="s">
        <v>84</v>
      </c>
      <c r="B95" s="1647" t="s">
        <v>85</v>
      </c>
      <c r="C95" s="1648" t="s">
        <v>86</v>
      </c>
      <c r="D95" s="1664"/>
      <c r="E95" s="1665" t="s">
        <v>56</v>
      </c>
      <c r="F95" s="1666" t="s">
        <v>57</v>
      </c>
      <c r="G95" s="1652" t="s">
        <v>332</v>
      </c>
      <c r="H95" s="1653" t="s">
        <v>992</v>
      </c>
      <c r="I95" s="1654" t="s">
        <v>989</v>
      </c>
      <c r="J95" s="1655" t="s">
        <v>990</v>
      </c>
      <c r="K95" s="1669" t="s">
        <v>1022</v>
      </c>
      <c r="L95" s="1670" t="s">
        <v>1023</v>
      </c>
      <c r="M95" s="1669" t="s">
        <v>1112</v>
      </c>
      <c r="N95" s="1671" t="s">
        <v>1113</v>
      </c>
      <c r="O95"/>
      <c r="P95"/>
    </row>
    <row r="96" spans="1:16" s="184" customFormat="1" ht="30" x14ac:dyDescent="0.25">
      <c r="A96" s="1672"/>
      <c r="B96" s="1639"/>
      <c r="C96" s="1673" t="s">
        <v>306</v>
      </c>
      <c r="D96" s="744"/>
      <c r="E96" s="748"/>
      <c r="F96" s="1662"/>
      <c r="G96" s="1448"/>
      <c r="H96" s="399"/>
      <c r="I96" s="401"/>
      <c r="J96" s="1448"/>
      <c r="K96" s="1644"/>
      <c r="L96" s="1674"/>
      <c r="M96" s="1658"/>
      <c r="N96" s="1659"/>
      <c r="O96"/>
      <c r="P96"/>
    </row>
    <row r="97" spans="1:16" s="184" customFormat="1" ht="15" x14ac:dyDescent="0.25">
      <c r="A97" s="362">
        <v>2</v>
      </c>
      <c r="B97" s="648" t="s">
        <v>542</v>
      </c>
      <c r="C97" s="114" t="s">
        <v>99</v>
      </c>
      <c r="D97" s="117"/>
      <c r="E97" s="100"/>
      <c r="F97" s="103"/>
      <c r="G97" s="1354">
        <f>G98+G99+G100+G101</f>
        <v>0</v>
      </c>
      <c r="H97" s="668"/>
      <c r="I97" s="115"/>
      <c r="J97" s="1354"/>
      <c r="K97" s="1478"/>
      <c r="L97" s="1450"/>
      <c r="M97" s="1478"/>
      <c r="N97" s="1450"/>
      <c r="O97"/>
      <c r="P97"/>
    </row>
    <row r="98" spans="1:16" s="184" customFormat="1" ht="15" x14ac:dyDescent="0.25">
      <c r="A98" s="362">
        <v>2</v>
      </c>
      <c r="B98" s="648" t="s">
        <v>543</v>
      </c>
      <c r="C98" s="99" t="s">
        <v>60</v>
      </c>
      <c r="D98" s="117"/>
      <c r="E98" s="100"/>
      <c r="F98" s="103"/>
      <c r="G98" s="1322">
        <v>0</v>
      </c>
      <c r="H98" s="111"/>
      <c r="I98" s="108"/>
      <c r="J98" s="1322"/>
      <c r="K98" s="1478"/>
      <c r="L98" s="649"/>
      <c r="M98" s="1478"/>
      <c r="N98" s="649"/>
      <c r="O98"/>
      <c r="P98"/>
    </row>
    <row r="99" spans="1:16" s="184" customFormat="1" x14ac:dyDescent="0.2">
      <c r="A99" s="439">
        <v>2</v>
      </c>
      <c r="B99" s="648" t="s">
        <v>544</v>
      </c>
      <c r="C99" s="99" t="s">
        <v>62</v>
      </c>
      <c r="D99" s="111"/>
      <c r="E99" s="99"/>
      <c r="F99" s="96"/>
      <c r="G99" s="1322">
        <v>0</v>
      </c>
      <c r="H99" s="111"/>
      <c r="I99" s="108"/>
      <c r="J99" s="1322"/>
      <c r="K99" s="1478"/>
      <c r="L99" s="649"/>
      <c r="M99" s="1478"/>
      <c r="N99" s="649"/>
      <c r="O99"/>
      <c r="P99"/>
    </row>
    <row r="100" spans="1:16" s="184" customFormat="1" x14ac:dyDescent="0.2">
      <c r="A100" s="362">
        <v>2</v>
      </c>
      <c r="B100" s="648" t="s">
        <v>545</v>
      </c>
      <c r="C100" s="99" t="s">
        <v>63</v>
      </c>
      <c r="D100" s="111"/>
      <c r="E100" s="99"/>
      <c r="F100" s="108"/>
      <c r="G100" s="1322">
        <v>0</v>
      </c>
      <c r="H100" s="111"/>
      <c r="I100" s="108"/>
      <c r="J100" s="1322"/>
      <c r="K100" s="1478"/>
      <c r="L100" s="649"/>
      <c r="M100" s="1478"/>
      <c r="N100" s="649"/>
      <c r="O100"/>
      <c r="P100"/>
    </row>
    <row r="101" spans="1:16" s="184" customFormat="1" x14ac:dyDescent="0.2">
      <c r="A101" s="362">
        <v>2</v>
      </c>
      <c r="B101" s="648" t="s">
        <v>546</v>
      </c>
      <c r="C101" s="99" t="s">
        <v>64</v>
      </c>
      <c r="D101" s="111"/>
      <c r="E101" s="108"/>
      <c r="F101" s="119"/>
      <c r="G101" s="1322">
        <v>0</v>
      </c>
      <c r="H101" s="111"/>
      <c r="I101" s="108"/>
      <c r="J101" s="1322"/>
      <c r="K101" s="1478"/>
      <c r="L101" s="649"/>
      <c r="M101" s="1478"/>
      <c r="N101" s="649"/>
      <c r="O101"/>
      <c r="P101"/>
    </row>
    <row r="102" spans="1:16" s="184" customFormat="1" x14ac:dyDescent="0.2">
      <c r="A102" s="362">
        <v>2</v>
      </c>
      <c r="B102" s="648" t="s">
        <v>547</v>
      </c>
      <c r="C102" s="99" t="s">
        <v>305</v>
      </c>
      <c r="D102" s="111"/>
      <c r="E102" s="108"/>
      <c r="F102" s="119"/>
      <c r="G102" s="1322">
        <v>0</v>
      </c>
      <c r="H102" s="111"/>
      <c r="I102" s="108"/>
      <c r="J102" s="1322"/>
      <c r="K102" s="1478"/>
      <c r="L102" s="649"/>
      <c r="M102" s="1478"/>
      <c r="N102" s="649"/>
      <c r="O102"/>
      <c r="P102"/>
    </row>
    <row r="103" spans="1:16" s="184" customFormat="1" x14ac:dyDescent="0.2">
      <c r="A103" s="362">
        <v>2</v>
      </c>
      <c r="B103" s="648" t="s">
        <v>548</v>
      </c>
      <c r="C103" s="99" t="s">
        <v>82</v>
      </c>
      <c r="D103" s="111"/>
      <c r="E103" s="108"/>
      <c r="F103" s="119"/>
      <c r="G103" s="1322">
        <v>0</v>
      </c>
      <c r="H103" s="111"/>
      <c r="I103" s="108"/>
      <c r="J103" s="1322"/>
      <c r="K103" s="1478"/>
      <c r="L103" s="649"/>
      <c r="M103" s="1478"/>
      <c r="N103" s="649"/>
      <c r="O103"/>
      <c r="P103"/>
    </row>
    <row r="104" spans="1:16" s="184" customFormat="1" x14ac:dyDescent="0.2">
      <c r="A104" s="362">
        <v>2</v>
      </c>
      <c r="B104" s="648" t="s">
        <v>549</v>
      </c>
      <c r="C104" s="99" t="s">
        <v>81</v>
      </c>
      <c r="D104" s="120"/>
      <c r="E104" s="108"/>
      <c r="F104" s="124"/>
      <c r="G104" s="1322">
        <v>329171072</v>
      </c>
      <c r="H104" s="111"/>
      <c r="I104" s="108">
        <v>-214180644</v>
      </c>
      <c r="J104" s="1322">
        <f>I104+G104</f>
        <v>114990428</v>
      </c>
      <c r="K104" s="1478"/>
      <c r="L104" s="649">
        <f>J104+K104</f>
        <v>114990428</v>
      </c>
      <c r="M104" s="1478"/>
      <c r="N104" s="649">
        <f>L104+M104</f>
        <v>114990428</v>
      </c>
      <c r="O104"/>
      <c r="P104"/>
    </row>
    <row r="105" spans="1:16" s="184" customFormat="1" x14ac:dyDescent="0.2">
      <c r="A105" s="362">
        <v>2</v>
      </c>
      <c r="B105" s="648" t="s">
        <v>534</v>
      </c>
      <c r="C105" s="99" t="s">
        <v>91</v>
      </c>
      <c r="D105" s="111"/>
      <c r="E105" s="111">
        <f>(253+365+62)/1043*23.9</f>
        <v>15.581975071907957</v>
      </c>
      <c r="F105" s="108">
        <v>2200000</v>
      </c>
      <c r="G105" s="1322">
        <f>E105*F105</f>
        <v>34280345.158197507</v>
      </c>
      <c r="H105" s="111">
        <v>9.7899999999999991</v>
      </c>
      <c r="I105" s="108">
        <v>-12726151</v>
      </c>
      <c r="J105" s="1322">
        <f t="shared" ref="J105" si="23">I105+G105</f>
        <v>21554194.158197507</v>
      </c>
      <c r="K105" s="1478"/>
      <c r="L105" s="649">
        <f t="shared" ref="L105:L114" si="24">J105+K105</f>
        <v>21554194.158197507</v>
      </c>
      <c r="M105" s="1478"/>
      <c r="N105" s="649">
        <f t="shared" ref="N105:N114" si="25">L105+M105</f>
        <v>21554194.158197507</v>
      </c>
      <c r="O105"/>
      <c r="P105"/>
    </row>
    <row r="106" spans="1:16" s="184" customFormat="1" x14ac:dyDescent="0.2">
      <c r="A106" s="362">
        <v>2</v>
      </c>
      <c r="B106" s="648" t="s">
        <v>535</v>
      </c>
      <c r="C106" s="99" t="s">
        <v>90</v>
      </c>
      <c r="D106" s="111"/>
      <c r="E106" s="99"/>
      <c r="F106" s="108"/>
      <c r="G106" s="1322">
        <v>9316409</v>
      </c>
      <c r="H106" s="111"/>
      <c r="I106" s="108">
        <f>J106-G106</f>
        <v>-3820704</v>
      </c>
      <c r="J106" s="1322">
        <f>5395376+100329</f>
        <v>5495705</v>
      </c>
      <c r="K106" s="1478"/>
      <c r="L106" s="649">
        <f t="shared" si="24"/>
        <v>5495705</v>
      </c>
      <c r="M106" s="1478"/>
      <c r="N106" s="649">
        <f t="shared" si="25"/>
        <v>5495705</v>
      </c>
      <c r="O106"/>
      <c r="P106"/>
    </row>
    <row r="107" spans="1:16" s="184" customFormat="1" x14ac:dyDescent="0.2">
      <c r="A107" s="362">
        <v>2</v>
      </c>
      <c r="B107" s="648" t="s">
        <v>550</v>
      </c>
      <c r="C107" s="99" t="s">
        <v>551</v>
      </c>
      <c r="D107" s="111"/>
      <c r="E107" s="99">
        <v>590</v>
      </c>
      <c r="F107" s="108">
        <v>285</v>
      </c>
      <c r="G107" s="1322">
        <f>E107*F107</f>
        <v>168150</v>
      </c>
      <c r="H107" s="111">
        <v>590</v>
      </c>
      <c r="I107" s="108"/>
      <c r="J107" s="1322">
        <f>I107+G107</f>
        <v>168150</v>
      </c>
      <c r="K107" s="1478"/>
      <c r="L107" s="649">
        <f t="shared" si="24"/>
        <v>168150</v>
      </c>
      <c r="M107" s="1478">
        <v>-82650</v>
      </c>
      <c r="N107" s="649">
        <f t="shared" si="25"/>
        <v>85500</v>
      </c>
      <c r="O107"/>
      <c r="P107"/>
    </row>
    <row r="108" spans="1:16" s="184" customFormat="1" x14ac:dyDescent="0.2">
      <c r="A108" s="362">
        <v>2</v>
      </c>
      <c r="B108" s="650" t="s">
        <v>167</v>
      </c>
      <c r="C108" s="99" t="s">
        <v>649</v>
      </c>
      <c r="D108" s="111"/>
      <c r="E108" s="99"/>
      <c r="F108" s="108"/>
      <c r="G108" s="1322"/>
      <c r="H108" s="111"/>
      <c r="I108" s="108"/>
      <c r="J108" s="1322"/>
      <c r="K108" s="1478"/>
      <c r="L108" s="649">
        <f t="shared" si="24"/>
        <v>0</v>
      </c>
      <c r="M108" s="1478"/>
      <c r="N108" s="649">
        <f t="shared" si="25"/>
        <v>0</v>
      </c>
      <c r="O108"/>
      <c r="P108"/>
    </row>
    <row r="109" spans="1:16" s="184" customFormat="1" x14ac:dyDescent="0.2">
      <c r="A109" s="362">
        <v>3</v>
      </c>
      <c r="B109" s="648" t="s">
        <v>168</v>
      </c>
      <c r="C109" s="98" t="s">
        <v>533</v>
      </c>
      <c r="D109" s="111"/>
      <c r="E109" s="99"/>
      <c r="F109" s="108"/>
      <c r="G109" s="1322"/>
      <c r="H109" s="111"/>
      <c r="I109" s="108"/>
      <c r="J109" s="1322"/>
      <c r="K109" s="1478"/>
      <c r="L109" s="649">
        <f t="shared" si="24"/>
        <v>0</v>
      </c>
      <c r="M109" s="1478">
        <v>17278800</v>
      </c>
      <c r="N109" s="649">
        <f t="shared" si="25"/>
        <v>17278800</v>
      </c>
      <c r="O109"/>
      <c r="P109"/>
    </row>
    <row r="110" spans="1:16" s="184" customFormat="1" x14ac:dyDescent="0.2">
      <c r="A110" s="362">
        <v>3</v>
      </c>
      <c r="B110" s="648" t="s">
        <v>167</v>
      </c>
      <c r="C110" s="98" t="s">
        <v>166</v>
      </c>
      <c r="D110" s="111"/>
      <c r="E110" s="99"/>
      <c r="F110" s="108"/>
      <c r="G110" s="1322"/>
      <c r="H110" s="111"/>
      <c r="I110" s="108"/>
      <c r="J110" s="1322"/>
      <c r="K110" s="1478"/>
      <c r="L110" s="649">
        <f t="shared" si="24"/>
        <v>0</v>
      </c>
      <c r="M110" s="1478"/>
      <c r="N110" s="649">
        <f t="shared" si="25"/>
        <v>0</v>
      </c>
      <c r="O110"/>
      <c r="P110"/>
    </row>
    <row r="111" spans="1:16" s="184" customFormat="1" x14ac:dyDescent="0.2">
      <c r="A111" s="362">
        <v>3</v>
      </c>
      <c r="B111" s="648" t="s">
        <v>552</v>
      </c>
      <c r="C111" s="342" t="s">
        <v>655</v>
      </c>
      <c r="D111" s="111"/>
      <c r="E111" s="99"/>
      <c r="F111" s="108"/>
      <c r="G111" s="1322"/>
      <c r="H111" s="111"/>
      <c r="I111" s="108"/>
      <c r="J111" s="1322"/>
      <c r="K111" s="1478"/>
      <c r="L111" s="649">
        <f t="shared" si="24"/>
        <v>0</v>
      </c>
      <c r="M111" s="1478">
        <v>216000</v>
      </c>
      <c r="N111" s="649">
        <f t="shared" si="25"/>
        <v>216000</v>
      </c>
      <c r="O111"/>
      <c r="P111"/>
    </row>
    <row r="112" spans="1:16" s="184" customFormat="1" x14ac:dyDescent="0.2">
      <c r="A112" s="362">
        <v>3</v>
      </c>
      <c r="B112" s="648" t="s">
        <v>553</v>
      </c>
      <c r="C112" s="343" t="s">
        <v>334</v>
      </c>
      <c r="D112" s="111"/>
      <c r="E112" s="99"/>
      <c r="F112" s="108"/>
      <c r="G112" s="1322"/>
      <c r="H112" s="111"/>
      <c r="I112" s="108"/>
      <c r="J112" s="1322"/>
      <c r="K112" s="1478"/>
      <c r="L112" s="649">
        <f t="shared" si="24"/>
        <v>0</v>
      </c>
      <c r="M112" s="1478"/>
      <c r="N112" s="649">
        <f t="shared" si="25"/>
        <v>0</v>
      </c>
      <c r="O112"/>
      <c r="P112"/>
    </row>
    <row r="113" spans="1:16" s="184" customFormat="1" x14ac:dyDescent="0.2">
      <c r="A113" s="362">
        <v>2</v>
      </c>
      <c r="B113" s="648" t="s">
        <v>534</v>
      </c>
      <c r="C113" s="343" t="s">
        <v>1024</v>
      </c>
      <c r="D113" s="111"/>
      <c r="E113" s="99"/>
      <c r="F113" s="108"/>
      <c r="G113" s="1322"/>
      <c r="H113" s="111"/>
      <c r="I113" s="108"/>
      <c r="J113" s="1322"/>
      <c r="K113" s="1478">
        <f>H105*176000</f>
        <v>1723039.9999999998</v>
      </c>
      <c r="L113" s="649">
        <f t="shared" si="24"/>
        <v>1723039.9999999998</v>
      </c>
      <c r="M113" s="1629"/>
      <c r="N113" s="649">
        <f t="shared" si="25"/>
        <v>1723039.9999999998</v>
      </c>
      <c r="O113"/>
      <c r="P113"/>
    </row>
    <row r="114" spans="1:16" s="184" customFormat="1" x14ac:dyDescent="0.2">
      <c r="A114" s="362"/>
      <c r="B114" s="648"/>
      <c r="C114" s="110" t="s">
        <v>1029</v>
      </c>
      <c r="D114" s="111"/>
      <c r="E114" s="99"/>
      <c r="F114" s="108"/>
      <c r="G114" s="1322"/>
      <c r="H114" s="1529"/>
      <c r="I114" s="1322"/>
      <c r="J114" s="1322"/>
      <c r="K114" s="1518">
        <f>'2b. tábla 2020. (2)'!H83</f>
        <v>272282390</v>
      </c>
      <c r="L114" s="649">
        <f t="shared" si="24"/>
        <v>272282390</v>
      </c>
      <c r="M114" s="1630">
        <v>-22965620</v>
      </c>
      <c r="N114" s="649">
        <f t="shared" si="25"/>
        <v>249316770</v>
      </c>
      <c r="O114"/>
      <c r="P114"/>
    </row>
    <row r="115" spans="1:16" s="184" customFormat="1" x14ac:dyDescent="0.2">
      <c r="A115" s="362"/>
      <c r="B115" s="648"/>
      <c r="C115" s="1628" t="s">
        <v>1115</v>
      </c>
      <c r="D115" s="111"/>
      <c r="E115" s="99"/>
      <c r="F115" s="108"/>
      <c r="G115" s="1322"/>
      <c r="H115" s="1529"/>
      <c r="I115" s="1322"/>
      <c r="J115" s="1322"/>
      <c r="K115" s="1518"/>
      <c r="L115" s="649"/>
      <c r="M115" s="1630">
        <v>39999050</v>
      </c>
      <c r="N115" s="1519">
        <v>39999050</v>
      </c>
      <c r="O115"/>
      <c r="P115"/>
    </row>
    <row r="116" spans="1:16" s="184" customFormat="1" x14ac:dyDescent="0.2">
      <c r="A116" s="362"/>
      <c r="B116" s="648"/>
      <c r="C116" s="670" t="s">
        <v>1116</v>
      </c>
      <c r="D116" s="111"/>
      <c r="E116" s="99"/>
      <c r="F116" s="108"/>
      <c r="G116" s="1322"/>
      <c r="H116" s="1529"/>
      <c r="I116" s="1322"/>
      <c r="J116" s="1322"/>
      <c r="K116" s="1518"/>
      <c r="L116" s="649"/>
      <c r="M116" s="1630">
        <v>3000000</v>
      </c>
      <c r="N116" s="1519">
        <v>3000000</v>
      </c>
      <c r="O116"/>
      <c r="P116"/>
    </row>
    <row r="117" spans="1:16" s="184" customFormat="1" ht="15" x14ac:dyDescent="0.25">
      <c r="A117" s="362"/>
      <c r="B117" s="658"/>
      <c r="C117" s="100" t="s">
        <v>100</v>
      </c>
      <c r="D117" s="120"/>
      <c r="E117" s="112"/>
      <c r="F117" s="112"/>
      <c r="G117" s="1350">
        <f>G97+G96+G94+G104+G107+G108+G105+G106+G113</f>
        <v>372935976.15819752</v>
      </c>
      <c r="H117" s="1350">
        <f>H97+H96+H94+H104+H107+H108+H105+H106+H113</f>
        <v>599.79</v>
      </c>
      <c r="I117" s="1350">
        <f>I97+I96+I94+I104+I107+I108+I105+I106+I113</f>
        <v>-230727499</v>
      </c>
      <c r="J117" s="1350">
        <f>J97+J96+J94+J104+J107+J108+J105+J106+J113</f>
        <v>142208477.15819752</v>
      </c>
      <c r="K117" s="286">
        <f>K97+K96+K94+K104+K107+K108+K105+K106+K113+K114</f>
        <v>274005430</v>
      </c>
      <c r="L117" s="1449">
        <f>L97+L96+L94+L104+L107+L108+L105+L106+L113+L114</f>
        <v>416213907.15819752</v>
      </c>
      <c r="M117" s="1631">
        <f>M97+M96+M94+M104+M107+M108+M105+M106+M113+M114+M109+M110+M111+M115+M116</f>
        <v>37445580</v>
      </c>
      <c r="N117" s="1449">
        <f>L117+M117</f>
        <v>453659487.15819752</v>
      </c>
      <c r="O117"/>
      <c r="P117"/>
    </row>
    <row r="118" spans="1:16" x14ac:dyDescent="0.2">
      <c r="A118" s="365"/>
      <c r="B118" s="648"/>
      <c r="C118" s="99"/>
      <c r="D118" s="111"/>
      <c r="E118" s="99"/>
      <c r="F118" s="108"/>
      <c r="G118" s="1322"/>
      <c r="H118" s="111"/>
      <c r="I118" s="108"/>
      <c r="J118" s="1322"/>
      <c r="K118" s="1478"/>
      <c r="L118" s="649"/>
      <c r="M118" s="1478"/>
      <c r="N118" s="649"/>
    </row>
    <row r="119" spans="1:16" ht="15.75" thickBot="1" x14ac:dyDescent="0.3">
      <c r="A119" s="366"/>
      <c r="B119" s="659"/>
      <c r="C119" s="344" t="s">
        <v>101</v>
      </c>
      <c r="D119" s="125"/>
      <c r="E119" s="126"/>
      <c r="F119" s="127"/>
      <c r="G119" s="1352">
        <f>G14+G25+G36+G48+G78+G83+G117+G61+G90+G93</f>
        <v>1014730134</v>
      </c>
      <c r="H119" s="1352"/>
      <c r="I119" s="1352">
        <f t="shared" ref="I119:N119" si="26">I14+I25+I36+I48+I78+I83+I117+I61+I90+I93</f>
        <v>-205366804</v>
      </c>
      <c r="J119" s="1352">
        <f t="shared" si="26"/>
        <v>809363330</v>
      </c>
      <c r="K119" s="1481">
        <f t="shared" si="26"/>
        <v>322013169</v>
      </c>
      <c r="L119" s="1451">
        <f t="shared" si="26"/>
        <v>1131376499</v>
      </c>
      <c r="M119" s="1481">
        <f t="shared" si="26"/>
        <v>53325786</v>
      </c>
      <c r="N119" s="1451">
        <f t="shared" si="26"/>
        <v>1184702285</v>
      </c>
    </row>
    <row r="120" spans="1:16" x14ac:dyDescent="0.2">
      <c r="F120" s="185"/>
      <c r="G120" s="184"/>
      <c r="H120" s="1347"/>
      <c r="I120" s="580"/>
      <c r="J120" s="580"/>
      <c r="K120" s="639"/>
      <c r="L120" s="580"/>
      <c r="M120" s="580"/>
      <c r="N120" s="580"/>
    </row>
    <row r="121" spans="1:16" x14ac:dyDescent="0.2">
      <c r="F121" s="185"/>
      <c r="G121" s="184"/>
      <c r="H121" s="1347"/>
      <c r="I121" s="580"/>
      <c r="J121" s="580"/>
      <c r="K121" s="639"/>
      <c r="L121" s="580"/>
      <c r="M121" s="580"/>
      <c r="N121" s="580"/>
    </row>
    <row r="122" spans="1:16" x14ac:dyDescent="0.2">
      <c r="F122" s="185"/>
      <c r="G122" s="184"/>
      <c r="H122" s="1347"/>
      <c r="I122" s="580"/>
      <c r="J122" s="580"/>
      <c r="K122" s="639"/>
      <c r="L122" s="580"/>
      <c r="M122" s="580"/>
      <c r="N122" s="580"/>
    </row>
    <row r="123" spans="1:16" x14ac:dyDescent="0.2">
      <c r="F123" s="185"/>
      <c r="G123" s="184"/>
      <c r="H123" s="1347"/>
      <c r="I123" s="580"/>
      <c r="J123" s="580"/>
      <c r="K123" s="639"/>
      <c r="L123" s="580"/>
      <c r="M123" s="580"/>
      <c r="N123" s="580"/>
    </row>
    <row r="124" spans="1:16" x14ac:dyDescent="0.2">
      <c r="L124" s="1344"/>
      <c r="M124" s="1344"/>
      <c r="N124" s="1344"/>
    </row>
    <row r="125" spans="1:16" x14ac:dyDescent="0.2">
      <c r="L125" s="1344"/>
      <c r="M125" s="1344"/>
      <c r="N125" s="1344"/>
    </row>
    <row r="126" spans="1:16" x14ac:dyDescent="0.2">
      <c r="L126" s="1344"/>
      <c r="M126" s="1344"/>
      <c r="N126" s="1344"/>
    </row>
  </sheetData>
  <mergeCells count="1">
    <mergeCell ref="C1:G1"/>
  </mergeCells>
  <pageMargins left="0.7" right="0.7" top="0.75" bottom="0.75" header="0.3" footer="0.3"/>
  <pageSetup paperSize="9" scale="61" orientation="landscape" r:id="rId1"/>
  <headerFooter alignWithMargins="0">
    <oddHeader>&amp;C2/c. melléklet
 az önkormányzat 2020. évi költségvetéséről szóló 6/2019. (III.06.) önkormányzati rendelethez
a 42/2020. (XII.21.) önkormányzati rendelet módosítással egységes szerkezetbe foglalva&amp;R&amp;P. oldal</oddHeader>
  </headerFooter>
  <rowBreaks count="3" manualBreakCount="3">
    <brk id="49" max="13" man="1"/>
    <brk id="94" max="13" man="1"/>
    <brk id="119"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BC19"/>
  <sheetViews>
    <sheetView view="pageLayout" zoomScaleNormal="95" zoomScaleSheetLayoutView="89" workbookViewId="0">
      <selection activeCell="AJ21" sqref="AJ21"/>
    </sheetView>
  </sheetViews>
  <sheetFormatPr defaultColWidth="9.140625" defaultRowHeight="14.25" x14ac:dyDescent="0.2"/>
  <cols>
    <col min="1" max="1" width="24.85546875" style="441" customWidth="1"/>
    <col min="2" max="2" width="15.140625" style="441" customWidth="1"/>
    <col min="3" max="3" width="15.7109375" style="441" customWidth="1"/>
    <col min="4" max="4" width="15" style="441" customWidth="1"/>
    <col min="5" max="5" width="15.7109375" style="441" customWidth="1"/>
    <col min="6" max="6" width="14.7109375" style="441" customWidth="1"/>
    <col min="7" max="7" width="16.140625" style="441" customWidth="1"/>
    <col min="8" max="8" width="13.7109375" style="441" customWidth="1"/>
    <col min="9" max="9" width="16.140625" style="441" customWidth="1"/>
    <col min="10" max="10" width="16" style="441" customWidth="1"/>
    <col min="11" max="12" width="14.5703125" style="441" customWidth="1"/>
    <col min="13" max="13" width="13.85546875" style="441" customWidth="1"/>
    <col min="14" max="14" width="16" style="441" customWidth="1"/>
    <col min="15" max="15" width="16.28515625" style="441" customWidth="1"/>
    <col min="16" max="16" width="16.28515625" style="441" bestFit="1" customWidth="1"/>
    <col min="17" max="17" width="16.85546875" style="441" customWidth="1"/>
    <col min="18" max="18" width="27.28515625" style="441" customWidth="1"/>
    <col min="19" max="19" width="15.85546875" style="441" customWidth="1"/>
    <col min="20" max="20" width="14.5703125" style="441" customWidth="1"/>
    <col min="21" max="21" width="14.7109375" style="441" customWidth="1"/>
    <col min="22" max="22" width="16" style="441" customWidth="1"/>
    <col min="23" max="23" width="13.42578125" style="441" customWidth="1"/>
    <col min="24" max="24" width="14.85546875" style="441" customWidth="1"/>
    <col min="25" max="25" width="15" style="441" bestFit="1" customWidth="1"/>
    <col min="26" max="26" width="15.5703125" style="441" customWidth="1"/>
    <col min="27" max="27" width="16" style="441" customWidth="1"/>
    <col min="28" max="28" width="15.85546875" style="441" customWidth="1"/>
    <col min="29" max="29" width="16.28515625" style="441" bestFit="1" customWidth="1"/>
    <col min="30" max="30" width="15" style="441" customWidth="1"/>
    <col min="31" max="32" width="18.7109375" style="441" customWidth="1"/>
    <col min="33" max="33" width="14.85546875" style="441" customWidth="1"/>
    <col min="34" max="34" width="15.28515625" style="441" customWidth="1"/>
    <col min="35" max="35" width="14.28515625" style="441" customWidth="1"/>
    <col min="36" max="36" width="14.28515625" style="10" customWidth="1"/>
    <col min="37" max="16384" width="9.140625" style="10"/>
  </cols>
  <sheetData>
    <row r="1" spans="1:55" ht="12.75" customHeight="1" x14ac:dyDescent="0.25">
      <c r="A1" s="1970"/>
      <c r="B1" s="1970"/>
      <c r="C1" s="1970"/>
      <c r="D1" s="1970"/>
      <c r="E1" s="1970"/>
      <c r="F1" s="1970"/>
      <c r="G1" s="1970"/>
      <c r="H1" s="1970"/>
      <c r="I1" s="1970"/>
      <c r="J1" s="1970"/>
      <c r="K1" s="1970"/>
      <c r="L1" s="1970"/>
      <c r="M1" s="1970"/>
      <c r="N1" s="1970"/>
      <c r="O1" s="440"/>
      <c r="P1" s="1456"/>
      <c r="Q1" s="579"/>
      <c r="R1" s="440"/>
      <c r="S1" s="1971"/>
      <c r="T1" s="1971"/>
      <c r="U1" s="1971"/>
      <c r="V1" s="1971"/>
      <c r="W1" s="1971"/>
      <c r="X1" s="1971"/>
      <c r="Y1" s="1971"/>
      <c r="Z1" s="1971"/>
      <c r="AA1" s="1971"/>
      <c r="AB1" s="1971"/>
      <c r="AC1" s="1971"/>
      <c r="AD1" s="1971"/>
    </row>
    <row r="2" spans="1:55" ht="12.75" customHeight="1" x14ac:dyDescent="0.25">
      <c r="A2" s="1970"/>
      <c r="B2" s="1970"/>
      <c r="C2" s="1970"/>
      <c r="D2" s="1970"/>
      <c r="E2" s="1970"/>
      <c r="F2" s="1970"/>
      <c r="G2" s="1970"/>
      <c r="H2" s="1970"/>
      <c r="I2" s="1970"/>
      <c r="J2" s="1970"/>
      <c r="K2" s="1970"/>
      <c r="L2" s="1970"/>
      <c r="M2" s="1970"/>
      <c r="N2" s="1970"/>
      <c r="O2" s="440"/>
      <c r="P2" s="1456"/>
      <c r="Q2" s="579"/>
      <c r="R2" s="1970"/>
      <c r="S2" s="1970"/>
      <c r="T2" s="1970"/>
      <c r="U2" s="1970"/>
      <c r="V2" s="1970"/>
      <c r="W2" s="1970"/>
      <c r="X2" s="1970"/>
      <c r="Y2" s="1970"/>
      <c r="Z2" s="1970"/>
      <c r="AA2" s="1970"/>
      <c r="AB2" s="1970"/>
      <c r="AC2" s="1970"/>
      <c r="AD2" s="1970"/>
    </row>
    <row r="3" spans="1:55" ht="15" x14ac:dyDescent="0.25">
      <c r="A3" s="1972" t="s">
        <v>723</v>
      </c>
      <c r="B3" s="1972"/>
      <c r="C3" s="1972"/>
      <c r="D3" s="1972"/>
      <c r="E3" s="1972"/>
      <c r="F3" s="1972"/>
      <c r="G3" s="1972"/>
      <c r="H3" s="1972"/>
      <c r="I3" s="1972"/>
      <c r="J3" s="1972"/>
      <c r="K3" s="1972"/>
      <c r="L3" s="1972"/>
      <c r="M3" s="1972"/>
      <c r="N3" s="1972"/>
      <c r="O3" s="1972"/>
      <c r="P3" s="1972"/>
      <c r="Q3" s="1972"/>
      <c r="R3" s="1972" t="s">
        <v>723</v>
      </c>
      <c r="S3" s="1972"/>
      <c r="T3" s="1972"/>
      <c r="U3" s="1972"/>
      <c r="V3" s="1972"/>
      <c r="W3" s="1972"/>
      <c r="X3" s="1972"/>
      <c r="Y3" s="1972"/>
      <c r="Z3" s="1972"/>
      <c r="AA3" s="1972"/>
      <c r="AB3" s="1972"/>
      <c r="AC3" s="1972"/>
      <c r="AD3" s="1972"/>
      <c r="AE3" s="1972"/>
      <c r="AF3" s="1972"/>
      <c r="AG3" s="1972"/>
      <c r="AH3" s="1972"/>
      <c r="AI3" s="1972"/>
    </row>
    <row r="4" spans="1:55" x14ac:dyDescent="0.2">
      <c r="N4" s="442"/>
      <c r="O4" s="442"/>
      <c r="P4" s="442"/>
      <c r="Q4" s="442"/>
      <c r="R4" s="442"/>
      <c r="AA4" s="442"/>
      <c r="AB4" s="442"/>
      <c r="AC4" s="442"/>
      <c r="AD4" s="442"/>
    </row>
    <row r="5" spans="1:55" ht="55.5" customHeight="1" thickBot="1" x14ac:dyDescent="0.25">
      <c r="N5" s="442"/>
      <c r="O5" s="442"/>
      <c r="P5" s="442"/>
      <c r="Q5" s="442"/>
      <c r="R5" s="442"/>
      <c r="AA5" s="442"/>
      <c r="AB5" s="442"/>
      <c r="AC5" s="442"/>
      <c r="AD5" s="442"/>
    </row>
    <row r="6" spans="1:55" s="32" customFormat="1" ht="43.5" customHeight="1" thickBot="1" x14ac:dyDescent="0.25">
      <c r="A6" s="1973" t="s">
        <v>302</v>
      </c>
      <c r="B6" s="1960" t="s">
        <v>303</v>
      </c>
      <c r="C6" s="1961"/>
      <c r="D6" s="1961"/>
      <c r="E6" s="1961"/>
      <c r="F6" s="1960" t="s">
        <v>102</v>
      </c>
      <c r="G6" s="1961"/>
      <c r="H6" s="1961"/>
      <c r="I6" s="1961"/>
      <c r="J6" s="1960" t="s">
        <v>103</v>
      </c>
      <c r="K6" s="1961"/>
      <c r="L6" s="1961"/>
      <c r="M6" s="1961"/>
      <c r="N6" s="1960" t="s">
        <v>104</v>
      </c>
      <c r="O6" s="1961"/>
      <c r="P6" s="1961"/>
      <c r="Q6" s="1976"/>
      <c r="R6" s="1973" t="s">
        <v>302</v>
      </c>
      <c r="S6" s="1960" t="s">
        <v>105</v>
      </c>
      <c r="T6" s="1961"/>
      <c r="U6" s="1961"/>
      <c r="V6" s="1961"/>
      <c r="W6" s="1960" t="s">
        <v>106</v>
      </c>
      <c r="X6" s="1961"/>
      <c r="Y6" s="1961"/>
      <c r="Z6" s="1961"/>
      <c r="AA6" s="1964" t="s">
        <v>107</v>
      </c>
      <c r="AB6" s="1965"/>
      <c r="AC6" s="1965"/>
      <c r="AD6" s="1966"/>
      <c r="AE6" s="1951" t="s">
        <v>932</v>
      </c>
      <c r="AF6" s="1952"/>
      <c r="AG6" s="1953"/>
      <c r="AH6" s="1954"/>
      <c r="AI6" s="1955"/>
    </row>
    <row r="7" spans="1:55" s="32" customFormat="1" ht="53.25" customHeight="1" thickBot="1" x14ac:dyDescent="0.25">
      <c r="A7" s="1974"/>
      <c r="B7" s="1962"/>
      <c r="C7" s="1963"/>
      <c r="D7" s="1963"/>
      <c r="E7" s="1963"/>
      <c r="F7" s="1962"/>
      <c r="G7" s="1963"/>
      <c r="H7" s="1963"/>
      <c r="I7" s="1963"/>
      <c r="J7" s="1962"/>
      <c r="K7" s="1963"/>
      <c r="L7" s="1963"/>
      <c r="M7" s="1963"/>
      <c r="N7" s="1962"/>
      <c r="O7" s="1963"/>
      <c r="P7" s="1963"/>
      <c r="Q7" s="1977"/>
      <c r="R7" s="1974"/>
      <c r="S7" s="1962"/>
      <c r="T7" s="1963"/>
      <c r="U7" s="1963"/>
      <c r="V7" s="1963"/>
      <c r="W7" s="1962"/>
      <c r="X7" s="1963"/>
      <c r="Y7" s="1963"/>
      <c r="Z7" s="1963"/>
      <c r="AA7" s="1967"/>
      <c r="AB7" s="1968"/>
      <c r="AC7" s="1968"/>
      <c r="AD7" s="1969"/>
      <c r="AE7" s="1956" t="s">
        <v>928</v>
      </c>
      <c r="AF7" s="1958" t="s">
        <v>929</v>
      </c>
      <c r="AG7" s="1959"/>
      <c r="AH7" s="1958" t="s">
        <v>930</v>
      </c>
      <c r="AI7" s="1959"/>
    </row>
    <row r="8" spans="1:55" s="33" customFormat="1" ht="90" customHeight="1" thickBot="1" x14ac:dyDescent="0.25">
      <c r="A8" s="1975"/>
      <c r="B8" s="556" t="s">
        <v>660</v>
      </c>
      <c r="C8" s="390" t="s">
        <v>1021</v>
      </c>
      <c r="D8" s="390" t="s">
        <v>1111</v>
      </c>
      <c r="E8" s="391" t="s">
        <v>987</v>
      </c>
      <c r="F8" s="556" t="s">
        <v>660</v>
      </c>
      <c r="G8" s="390" t="s">
        <v>1021</v>
      </c>
      <c r="H8" s="390" t="s">
        <v>1111</v>
      </c>
      <c r="I8" s="391" t="s">
        <v>987</v>
      </c>
      <c r="J8" s="556" t="s">
        <v>660</v>
      </c>
      <c r="K8" s="390" t="s">
        <v>1021</v>
      </c>
      <c r="L8" s="390" t="s">
        <v>1111</v>
      </c>
      <c r="M8" s="391" t="s">
        <v>987</v>
      </c>
      <c r="N8" s="556" t="s">
        <v>660</v>
      </c>
      <c r="O8" s="390" t="s">
        <v>1021</v>
      </c>
      <c r="P8" s="390" t="s">
        <v>1111</v>
      </c>
      <c r="Q8" s="391" t="s">
        <v>987</v>
      </c>
      <c r="R8" s="1975"/>
      <c r="S8" s="556" t="s">
        <v>660</v>
      </c>
      <c r="T8" s="390" t="s">
        <v>1021</v>
      </c>
      <c r="U8" s="390" t="s">
        <v>1111</v>
      </c>
      <c r="V8" s="391" t="s">
        <v>987</v>
      </c>
      <c r="W8" s="556" t="s">
        <v>660</v>
      </c>
      <c r="X8" s="390" t="s">
        <v>1021</v>
      </c>
      <c r="Y8" s="390" t="s">
        <v>1111</v>
      </c>
      <c r="Z8" s="391" t="s">
        <v>987</v>
      </c>
      <c r="AA8" s="556" t="s">
        <v>660</v>
      </c>
      <c r="AB8" s="390" t="s">
        <v>1021</v>
      </c>
      <c r="AC8" s="390" t="s">
        <v>1111</v>
      </c>
      <c r="AD8" s="391" t="s">
        <v>987</v>
      </c>
      <c r="AE8" s="1957"/>
      <c r="AF8" s="1142" t="s">
        <v>931</v>
      </c>
      <c r="AG8" s="1143" t="s">
        <v>809</v>
      </c>
      <c r="AH8" s="1142" t="s">
        <v>931</v>
      </c>
      <c r="AI8" s="1143" t="s">
        <v>809</v>
      </c>
    </row>
    <row r="9" spans="1:55" s="1265" customFormat="1" ht="28.5" x14ac:dyDescent="0.2">
      <c r="A9" s="1251" t="s">
        <v>202</v>
      </c>
      <c r="B9" s="1252">
        <v>17059887</v>
      </c>
      <c r="C9" s="1252">
        <f>'2c. tábla 2020. (2)'!L90</f>
        <v>26880549</v>
      </c>
      <c r="D9" s="1252">
        <f>'2c. tábla 2020. (2)'!N90</f>
        <v>27760954</v>
      </c>
      <c r="E9" s="1252">
        <f>D9-C9</f>
        <v>880405</v>
      </c>
      <c r="F9" s="1253">
        <v>40080381</v>
      </c>
      <c r="G9" s="1254">
        <v>19471203</v>
      </c>
      <c r="H9" s="1254">
        <v>19933186</v>
      </c>
      <c r="I9" s="1254">
        <f>H9-G9</f>
        <v>461983</v>
      </c>
      <c r="J9" s="1255">
        <f t="shared" ref="J9:L13" si="0">B9+F9</f>
        <v>57140268</v>
      </c>
      <c r="K9" s="1256">
        <f>C9+G9</f>
        <v>46351752</v>
      </c>
      <c r="L9" s="1256">
        <f>D9+H9</f>
        <v>47694140</v>
      </c>
      <c r="M9" s="1256">
        <f>L9-K9</f>
        <v>1342388</v>
      </c>
      <c r="N9" s="1253">
        <f>'2.a tábla ÚJ '!B44</f>
        <v>7301488</v>
      </c>
      <c r="O9" s="1257">
        <f>'2.a tábla ÚJ '!C44</f>
        <v>16761488</v>
      </c>
      <c r="P9" s="1257">
        <f>'2.a tábla ÚJ '!D44</f>
        <v>16761488</v>
      </c>
      <c r="Q9" s="1258">
        <f>P9-O9</f>
        <v>0</v>
      </c>
      <c r="R9" s="1259" t="s">
        <v>202</v>
      </c>
      <c r="S9" s="1257">
        <f>'2.a tábla ÚJ '!B46</f>
        <v>10526479</v>
      </c>
      <c r="T9" s="1257">
        <f>'2.a tábla ÚJ '!C46</f>
        <v>12932260</v>
      </c>
      <c r="U9" s="1257">
        <f>'2.a tábla ÚJ '!D46</f>
        <v>12932260</v>
      </c>
      <c r="V9" s="1258">
        <f>U9-T9</f>
        <v>0</v>
      </c>
      <c r="W9" s="1260"/>
      <c r="X9" s="1254"/>
      <c r="Y9" s="1254"/>
      <c r="Z9" s="1254"/>
      <c r="AA9" s="1261">
        <f t="shared" ref="AA9:AC11" si="1">J9+N9+S9+W9</f>
        <v>74968235</v>
      </c>
      <c r="AB9" s="1262">
        <f t="shared" si="1"/>
        <v>76045500</v>
      </c>
      <c r="AC9" s="1262">
        <f t="shared" si="1"/>
        <v>77387888</v>
      </c>
      <c r="AD9" s="1263">
        <f>AC9-AB9</f>
        <v>1342388</v>
      </c>
      <c r="AE9" s="1236">
        <f>AC9</f>
        <v>77387888</v>
      </c>
      <c r="AF9" s="1238"/>
      <c r="AG9" s="1238"/>
      <c r="AH9" s="1237"/>
      <c r="AI9" s="1264"/>
      <c r="AJ9" s="1239">
        <f t="shared" ref="AJ9:AJ13" si="2">SUM(AE9:AI9)</f>
        <v>77387888</v>
      </c>
      <c r="AK9" s="307"/>
      <c r="AL9" s="307"/>
      <c r="AM9" s="307"/>
      <c r="AO9" s="306"/>
      <c r="AP9" s="307"/>
      <c r="AQ9" s="307"/>
      <c r="AR9" s="306"/>
      <c r="AS9" s="307"/>
      <c r="AT9" s="307"/>
      <c r="AU9" s="307"/>
      <c r="AV9" s="307"/>
      <c r="AW9" s="307"/>
      <c r="AX9" s="307"/>
      <c r="AY9" s="307"/>
      <c r="AZ9" s="307"/>
      <c r="BA9" s="307"/>
    </row>
    <row r="10" spans="1:55" s="449" customFormat="1" ht="42.75" x14ac:dyDescent="0.2">
      <c r="A10" s="1225" t="s">
        <v>493</v>
      </c>
      <c r="B10" s="1226">
        <v>0</v>
      </c>
      <c r="C10" s="1226">
        <f>'2c. tábla 2020. (2)'!L93</f>
        <v>526877</v>
      </c>
      <c r="D10" s="1226">
        <f>'2c. tábla 2020. (2)'!N93</f>
        <v>689388</v>
      </c>
      <c r="E10" s="1226">
        <f>D10-C10</f>
        <v>162511</v>
      </c>
      <c r="F10" s="1227">
        <v>79366730</v>
      </c>
      <c r="G10" s="1228">
        <v>71317447</v>
      </c>
      <c r="H10" s="1228">
        <v>70800924</v>
      </c>
      <c r="I10" s="1228">
        <f>H10-G10</f>
        <v>-516523</v>
      </c>
      <c r="J10" s="1227">
        <f t="shared" si="0"/>
        <v>79366730</v>
      </c>
      <c r="K10" s="1229">
        <f t="shared" si="0"/>
        <v>71844324</v>
      </c>
      <c r="L10" s="1229">
        <f t="shared" si="0"/>
        <v>71490312</v>
      </c>
      <c r="M10" s="1229">
        <f>L10-K10</f>
        <v>-354012</v>
      </c>
      <c r="N10" s="1227">
        <f>'2.a tábla ÚJ '!F44</f>
        <v>181933270</v>
      </c>
      <c r="O10" s="1229">
        <f>'2.a tábla ÚJ '!G44</f>
        <v>200613219</v>
      </c>
      <c r="P10" s="1229">
        <f>'2.a tábla ÚJ '!H44</f>
        <v>201713219</v>
      </c>
      <c r="Q10" s="1230">
        <f>P10-O10</f>
        <v>1100000</v>
      </c>
      <c r="R10" s="1231" t="s">
        <v>493</v>
      </c>
      <c r="S10" s="1229">
        <f>'2.a tábla ÚJ '!F46</f>
        <v>0</v>
      </c>
      <c r="T10" s="1229">
        <f>'2.a tábla ÚJ '!G46</f>
        <v>11085110</v>
      </c>
      <c r="U10" s="1229">
        <f>'2.a tábla ÚJ '!H46</f>
        <v>11085110</v>
      </c>
      <c r="V10" s="1230">
        <f t="shared" ref="V10:V16" si="3">U10-T10</f>
        <v>0</v>
      </c>
      <c r="W10" s="1232"/>
      <c r="X10" s="1228"/>
      <c r="Y10" s="1228"/>
      <c r="Z10" s="1228"/>
      <c r="AA10" s="1233">
        <f t="shared" si="1"/>
        <v>261300000</v>
      </c>
      <c r="AB10" s="1234">
        <f t="shared" si="1"/>
        <v>283542653</v>
      </c>
      <c r="AC10" s="1234">
        <f t="shared" si="1"/>
        <v>284288641</v>
      </c>
      <c r="AD10" s="1235">
        <f>AC10-AB10</f>
        <v>745988</v>
      </c>
      <c r="AE10" s="1236">
        <f>155111872+62161+17500000+39753+3062500+1566084+330200-83990+1100000-354012</f>
        <v>178334568</v>
      </c>
      <c r="AF10" s="1237">
        <f>86619000-2882551+86128+84015+1000000+83990</f>
        <v>84990582</v>
      </c>
      <c r="AG10" s="1238">
        <f>19569128-86128-84015+1564506</f>
        <v>20963491</v>
      </c>
      <c r="AH10" s="1226"/>
      <c r="AI10" s="1235"/>
      <c r="AJ10" s="1239">
        <f>SUM(AE10:AI10)</f>
        <v>284288641</v>
      </c>
      <c r="AK10" s="1240"/>
      <c r="AL10" s="1240"/>
      <c r="AM10" s="1240"/>
      <c r="AO10" s="1241"/>
      <c r="AP10" s="1240"/>
      <c r="AQ10" s="1240"/>
      <c r="AR10" s="1241"/>
      <c r="AS10" s="1240"/>
      <c r="AT10" s="1240"/>
      <c r="AU10" s="1240"/>
      <c r="AV10" s="1240"/>
      <c r="AW10" s="1240"/>
      <c r="AX10" s="1240"/>
      <c r="AY10" s="1240"/>
      <c r="AZ10" s="1240"/>
      <c r="BA10" s="1240"/>
    </row>
    <row r="11" spans="1:55" s="1249" customFormat="1" ht="28.5" customHeight="1" x14ac:dyDescent="0.2">
      <c r="A11" s="1242" t="s">
        <v>494</v>
      </c>
      <c r="B11" s="1226">
        <v>45165455</v>
      </c>
      <c r="C11" s="1226">
        <f>'2c. tábla 2020. (2)'!L61</f>
        <v>47321969.074784279</v>
      </c>
      <c r="D11" s="1226">
        <f>'2c. tábla 2020. (2)'!N61</f>
        <v>47423825.074784279</v>
      </c>
      <c r="E11" s="1226">
        <f t="shared" ref="E11:E16" si="4">D11-C11</f>
        <v>101856</v>
      </c>
      <c r="F11" s="1227">
        <v>23803251</v>
      </c>
      <c r="G11" s="1228">
        <v>17401734</v>
      </c>
      <c r="H11" s="1228">
        <v>17384789</v>
      </c>
      <c r="I11" s="1228">
        <f t="shared" ref="I11:I15" si="5">H11-G11</f>
        <v>-16945</v>
      </c>
      <c r="J11" s="1243">
        <f t="shared" si="0"/>
        <v>68968706</v>
      </c>
      <c r="K11" s="1244">
        <f t="shared" si="0"/>
        <v>64723703.074784279</v>
      </c>
      <c r="L11" s="1244">
        <f t="shared" si="0"/>
        <v>64808614.074784279</v>
      </c>
      <c r="M11" s="1229">
        <f t="shared" ref="M11:M16" si="6">L11-K11</f>
        <v>84911</v>
      </c>
      <c r="N11" s="1227">
        <f>'2.a tábla ÚJ '!J44</f>
        <v>4433568</v>
      </c>
      <c r="O11" s="1229">
        <f>'2.a tábla ÚJ '!K44</f>
        <v>4163568</v>
      </c>
      <c r="P11" s="1229">
        <f>'2.a tábla ÚJ '!L44</f>
        <v>4163568</v>
      </c>
      <c r="Q11" s="1230">
        <f t="shared" ref="Q11:Q16" si="7">P11-O11</f>
        <v>0</v>
      </c>
      <c r="R11" s="1245" t="s">
        <v>494</v>
      </c>
      <c r="S11" s="1229">
        <f>'2.a tábla ÚJ '!J46</f>
        <v>178958</v>
      </c>
      <c r="T11" s="1229">
        <f>'2.a tábla ÚJ '!K46</f>
        <v>4864290</v>
      </c>
      <c r="U11" s="1229">
        <f>'2.a tábla ÚJ '!L46</f>
        <v>4864290</v>
      </c>
      <c r="V11" s="1230">
        <f t="shared" si="3"/>
        <v>0</v>
      </c>
      <c r="W11" s="1232"/>
      <c r="X11" s="1228"/>
      <c r="Y11" s="1228"/>
      <c r="Z11" s="1228"/>
      <c r="AA11" s="1233">
        <f t="shared" si="1"/>
        <v>73581232</v>
      </c>
      <c r="AB11" s="1234">
        <f>K11+O11+T11+X11</f>
        <v>73751561.074784279</v>
      </c>
      <c r="AC11" s="1234">
        <f>L11+P11+U11+Y11</f>
        <v>73836472.074784279</v>
      </c>
      <c r="AD11" s="1235">
        <f t="shared" ref="AD11:AD16" si="8">AC11-AB11</f>
        <v>84911</v>
      </c>
      <c r="AE11" s="1236">
        <f>AC11-AG11</f>
        <v>69632558.074784279</v>
      </c>
      <c r="AF11" s="1226">
        <v>0</v>
      </c>
      <c r="AG11" s="1238">
        <f>'4.sz.tábla '!AX8</f>
        <v>4203914</v>
      </c>
      <c r="AH11" s="1246"/>
      <c r="AI11" s="1247"/>
      <c r="AJ11" s="1239">
        <f>SUM(AE11:AI11)</f>
        <v>73836472.074784279</v>
      </c>
      <c r="AK11" s="1248"/>
      <c r="AL11" s="1248"/>
      <c r="AM11" s="1248"/>
      <c r="AO11" s="1250"/>
      <c r="AP11" s="1248"/>
      <c r="AQ11" s="1248"/>
      <c r="AR11" s="1250"/>
      <c r="AS11" s="1248"/>
      <c r="AT11" s="1248"/>
      <c r="AU11" s="1248"/>
      <c r="AV11" s="1248"/>
      <c r="AW11" s="1248"/>
      <c r="AX11" s="1248"/>
      <c r="AY11" s="1248"/>
      <c r="AZ11" s="1248"/>
      <c r="BA11" s="1248"/>
    </row>
    <row r="12" spans="1:55" s="1282" customFormat="1" ht="27.75" customHeight="1" x14ac:dyDescent="0.2">
      <c r="A12" s="1272" t="s">
        <v>109</v>
      </c>
      <c r="B12" s="1273">
        <f t="shared" ref="B12:C12" si="9">B9+B10+B11</f>
        <v>62225342</v>
      </c>
      <c r="C12" s="1273">
        <f t="shared" si="9"/>
        <v>74729395.074784279</v>
      </c>
      <c r="D12" s="1273">
        <f t="shared" ref="D12" si="10">D9+D10+D11</f>
        <v>75874167.074784279</v>
      </c>
      <c r="E12" s="1487">
        <f t="shared" si="4"/>
        <v>1144772</v>
      </c>
      <c r="F12" s="1274">
        <f t="shared" ref="F12:G12" si="11">F9+F10+F11</f>
        <v>143250362</v>
      </c>
      <c r="G12" s="1273">
        <f t="shared" si="11"/>
        <v>108190384</v>
      </c>
      <c r="H12" s="1273">
        <f t="shared" ref="H12" si="12">H9+H10+H11</f>
        <v>108118899</v>
      </c>
      <c r="I12" s="1486">
        <f t="shared" si="5"/>
        <v>-71485</v>
      </c>
      <c r="J12" s="1275">
        <f t="shared" si="0"/>
        <v>205475704</v>
      </c>
      <c r="K12" s="1276">
        <f t="shared" si="0"/>
        <v>182919779.07478428</v>
      </c>
      <c r="L12" s="1276">
        <f t="shared" si="0"/>
        <v>183993066.07478428</v>
      </c>
      <c r="M12" s="1276">
        <f t="shared" si="6"/>
        <v>1073287</v>
      </c>
      <c r="N12" s="1274">
        <f>N9+N10+N11</f>
        <v>193668326</v>
      </c>
      <c r="O12" s="1277">
        <f>O9+O10+O11</f>
        <v>221538275</v>
      </c>
      <c r="P12" s="1277">
        <f>P9+P10+P11</f>
        <v>222638275</v>
      </c>
      <c r="Q12" s="1485">
        <f t="shared" si="7"/>
        <v>1100000</v>
      </c>
      <c r="R12" s="1279" t="s">
        <v>109</v>
      </c>
      <c r="S12" s="1277">
        <f>S9+S10+S11</f>
        <v>10705437</v>
      </c>
      <c r="T12" s="1277">
        <f>T9+T10+T11</f>
        <v>28881660</v>
      </c>
      <c r="U12" s="1277">
        <f>U9+U10+U11</f>
        <v>28881660</v>
      </c>
      <c r="V12" s="1485">
        <f t="shared" si="3"/>
        <v>0</v>
      </c>
      <c r="W12" s="1280"/>
      <c r="X12" s="1273"/>
      <c r="Y12" s="1273"/>
      <c r="Z12" s="1273"/>
      <c r="AA12" s="1280">
        <f>AA9+AA10+AA11</f>
        <v>409849467</v>
      </c>
      <c r="AB12" s="1277">
        <f>AB9+AB10+AB11</f>
        <v>433339714.07478428</v>
      </c>
      <c r="AC12" s="1277">
        <f>AC9+AC10+AC11</f>
        <v>435513001.07478428</v>
      </c>
      <c r="AD12" s="1278">
        <f t="shared" si="8"/>
        <v>2173287</v>
      </c>
      <c r="AE12" s="1274">
        <f>SUM(AE9:AE11)</f>
        <v>325355014.07478428</v>
      </c>
      <c r="AF12" s="1273">
        <f t="shared" ref="AF12:AG12" si="13">SUM(AF9:AF11)</f>
        <v>84990582</v>
      </c>
      <c r="AG12" s="1277">
        <f t="shared" si="13"/>
        <v>25167405</v>
      </c>
      <c r="AH12" s="1273"/>
      <c r="AI12" s="1278">
        <f>SUM(AI9:AI11)</f>
        <v>0</v>
      </c>
      <c r="AJ12" s="1493">
        <f t="shared" si="2"/>
        <v>435513001.07478428</v>
      </c>
      <c r="AK12" s="1281"/>
      <c r="AL12" s="1281"/>
      <c r="AM12" s="1281"/>
      <c r="AO12" s="1283"/>
      <c r="AP12" s="1281"/>
      <c r="AQ12" s="1281"/>
      <c r="AR12" s="1283"/>
      <c r="AS12" s="1281"/>
      <c r="AT12" s="1281"/>
      <c r="AU12" s="1281"/>
      <c r="AV12" s="1281"/>
      <c r="AW12" s="1281"/>
      <c r="AX12" s="1281"/>
      <c r="AY12" s="1281"/>
      <c r="AZ12" s="1281"/>
      <c r="BA12" s="1281"/>
    </row>
    <row r="13" spans="1:55" s="1239" customFormat="1" ht="28.5" x14ac:dyDescent="0.2">
      <c r="A13" s="1266" t="s">
        <v>201</v>
      </c>
      <c r="B13" s="1226">
        <v>179444400</v>
      </c>
      <c r="C13" s="1226">
        <f>'2c. tábla 2020. (2)'!L83</f>
        <v>215763923</v>
      </c>
      <c r="D13" s="1226">
        <f>'2c. tábla 2020. (2)'!N83</f>
        <v>215763923</v>
      </c>
      <c r="E13" s="1226">
        <f t="shared" si="4"/>
        <v>0</v>
      </c>
      <c r="F13" s="1227">
        <f>'2.a tábla ÚJ '!S50-'3.sz. tábla  (2)'!B13</f>
        <v>238927075</v>
      </c>
      <c r="G13" s="1229">
        <f>'2.a tábla ÚJ '!T50-'3.sz. tábla  (2)'!C13</f>
        <v>187699522</v>
      </c>
      <c r="H13" s="1678">
        <f>'2.a tábla ÚJ '!U50-'3.sz. tábla  (2)'!D13</f>
        <v>181964040</v>
      </c>
      <c r="I13" s="1228">
        <f t="shared" si="5"/>
        <v>-5735482</v>
      </c>
      <c r="J13" s="1227">
        <f>B13+F13</f>
        <v>418371475</v>
      </c>
      <c r="K13" s="1229">
        <f t="shared" si="0"/>
        <v>403463445</v>
      </c>
      <c r="L13" s="1229">
        <f t="shared" si="0"/>
        <v>397727963</v>
      </c>
      <c r="M13" s="1229">
        <f t="shared" si="6"/>
        <v>-5735482</v>
      </c>
      <c r="N13" s="1227">
        <f>'2.a tábla ÚJ '!S44</f>
        <v>64232559</v>
      </c>
      <c r="O13" s="1229">
        <f>'2.a tábla ÚJ '!T44</f>
        <v>58040385</v>
      </c>
      <c r="P13" s="1229">
        <f>'2.a tábla ÚJ '!U44</f>
        <v>58166385</v>
      </c>
      <c r="Q13" s="1230">
        <f t="shared" si="7"/>
        <v>126000</v>
      </c>
      <c r="R13" s="1267" t="s">
        <v>201</v>
      </c>
      <c r="S13" s="1229">
        <f>'2.a tábla ÚJ '!S46</f>
        <v>0</v>
      </c>
      <c r="T13" s="1229">
        <f>'2.a tábla ÚJ '!T46</f>
        <v>35572714</v>
      </c>
      <c r="U13" s="1229">
        <f>'2.a tábla ÚJ '!U46</f>
        <v>35572714</v>
      </c>
      <c r="V13" s="1230">
        <f t="shared" si="3"/>
        <v>0</v>
      </c>
      <c r="W13" s="1232"/>
      <c r="X13" s="1228"/>
      <c r="Y13" s="1228"/>
      <c r="Z13" s="1228"/>
      <c r="AA13" s="1233">
        <f>J13+N13+S13+W13</f>
        <v>482604034</v>
      </c>
      <c r="AB13" s="1234">
        <f>K13+O13+T13+X13</f>
        <v>497076544</v>
      </c>
      <c r="AC13" s="1234">
        <f>L13+P13+U13+Y13</f>
        <v>491467062</v>
      </c>
      <c r="AD13" s="1235">
        <f t="shared" si="8"/>
        <v>-5609482</v>
      </c>
      <c r="AE13" s="1268">
        <f>'4.sz.tábla '!AW10</f>
        <v>388760646</v>
      </c>
      <c r="AF13" s="1269">
        <v>0</v>
      </c>
      <c r="AG13" s="1270">
        <f>'4.sz.tábla '!AX10</f>
        <v>11662924</v>
      </c>
      <c r="AH13" s="1269">
        <f>'9. sz. tábla (2)'!C84+'9. sz. tábla (2)'!C93</f>
        <v>58878244.624399997</v>
      </c>
      <c r="AI13" s="1271">
        <f>'4.sz.tábla '!AY10-'3.sz. tábla  (2)'!AH14</f>
        <v>32165247.375600003</v>
      </c>
      <c r="AJ13" s="1239">
        <f t="shared" si="2"/>
        <v>491467062</v>
      </c>
    </row>
    <row r="14" spans="1:55" s="1282" customFormat="1" ht="30.75" thickBot="1" x14ac:dyDescent="0.25">
      <c r="A14" s="1284" t="s">
        <v>108</v>
      </c>
      <c r="B14" s="1285">
        <f t="shared" ref="B14" si="14">SUM(B12:B13)</f>
        <v>241669742</v>
      </c>
      <c r="C14" s="1285">
        <f t="shared" ref="C14" si="15">SUM(C12:C13)</f>
        <v>290493318.07478428</v>
      </c>
      <c r="D14" s="1285">
        <f t="shared" ref="D14" si="16">SUM(D12:D13)</f>
        <v>291638090.07478428</v>
      </c>
      <c r="E14" s="1488">
        <f t="shared" si="4"/>
        <v>1144772</v>
      </c>
      <c r="F14" s="1286">
        <f t="shared" ref="F14:J14" si="17">SUM(F12:F13)</f>
        <v>382177437</v>
      </c>
      <c r="G14" s="1287">
        <f t="shared" ref="G14:H14" si="18">SUM(G12:G13)</f>
        <v>295889906</v>
      </c>
      <c r="H14" s="1287">
        <f t="shared" si="18"/>
        <v>290082939</v>
      </c>
      <c r="I14" s="1483">
        <f t="shared" si="5"/>
        <v>-5806967</v>
      </c>
      <c r="J14" s="1288">
        <f t="shared" si="17"/>
        <v>623847179</v>
      </c>
      <c r="K14" s="1289">
        <f t="shared" ref="K14:L14" si="19">SUM(K12:K13)</f>
        <v>586383224.07478428</v>
      </c>
      <c r="L14" s="1289">
        <f t="shared" si="19"/>
        <v>581721029.07478428</v>
      </c>
      <c r="M14" s="1483">
        <f t="shared" si="6"/>
        <v>-4662195</v>
      </c>
      <c r="N14" s="1286">
        <f t="shared" ref="N14:O14" si="20">SUM(N12:N13)</f>
        <v>257900885</v>
      </c>
      <c r="O14" s="1290">
        <f t="shared" si="20"/>
        <v>279578660</v>
      </c>
      <c r="P14" s="1290">
        <f t="shared" ref="P14" si="21">SUM(P12:P13)</f>
        <v>280804660</v>
      </c>
      <c r="Q14" s="1483">
        <f t="shared" si="7"/>
        <v>1226000</v>
      </c>
      <c r="R14" s="1291" t="s">
        <v>108</v>
      </c>
      <c r="S14" s="1290">
        <f>SUM(S12:S13)</f>
        <v>10705437</v>
      </c>
      <c r="T14" s="1290">
        <f>SUM(T12:T13)</f>
        <v>64454374</v>
      </c>
      <c r="U14" s="1290">
        <f>SUM(U12:U13)</f>
        <v>64454374</v>
      </c>
      <c r="V14" s="1491">
        <f t="shared" si="3"/>
        <v>0</v>
      </c>
      <c r="W14" s="1292"/>
      <c r="X14" s="1285"/>
      <c r="Y14" s="1285"/>
      <c r="Z14" s="1285"/>
      <c r="AA14" s="1292">
        <f t="shared" ref="AA14:AB14" si="22">SUM(AA12:AA13)</f>
        <v>892453501</v>
      </c>
      <c r="AB14" s="1289">
        <f t="shared" si="22"/>
        <v>930416258.07478428</v>
      </c>
      <c r="AC14" s="1289">
        <f t="shared" ref="AC14" si="23">SUM(AC12:AC13)</f>
        <v>926980063.07478428</v>
      </c>
      <c r="AD14" s="1293">
        <f t="shared" si="8"/>
        <v>-3436195</v>
      </c>
      <c r="AE14" s="1286">
        <f t="shared" ref="AE14:AI14" si="24">SUM(AE12:AE13)</f>
        <v>714115660.07478428</v>
      </c>
      <c r="AF14" s="1287">
        <f t="shared" si="24"/>
        <v>84990582</v>
      </c>
      <c r="AG14" s="1289">
        <f t="shared" si="24"/>
        <v>36830329</v>
      </c>
      <c r="AH14" s="1289">
        <f t="shared" si="24"/>
        <v>58878244.624399997</v>
      </c>
      <c r="AI14" s="1293">
        <f t="shared" si="24"/>
        <v>32165247.375600003</v>
      </c>
      <c r="AJ14" s="1493">
        <f>SUM(AE14:AI14)</f>
        <v>926980063.07478428</v>
      </c>
      <c r="AK14" s="1281"/>
      <c r="AL14" s="1281"/>
      <c r="AM14" s="1281"/>
      <c r="AO14" s="1283"/>
      <c r="AP14" s="1281"/>
      <c r="AQ14" s="1281"/>
      <c r="AR14" s="1283"/>
      <c r="AS14" s="1281"/>
      <c r="AT14" s="1281"/>
      <c r="AU14" s="1281"/>
      <c r="AV14" s="1281"/>
      <c r="AW14" s="1281"/>
      <c r="AX14" s="1281"/>
      <c r="AY14" s="1281"/>
      <c r="AZ14" s="1281"/>
      <c r="BA14" s="1281"/>
    </row>
    <row r="15" spans="1:55" ht="15" thickBot="1" x14ac:dyDescent="0.25">
      <c r="A15" s="370" t="s">
        <v>387</v>
      </c>
      <c r="B15" s="383">
        <v>773060392</v>
      </c>
      <c r="C15" s="383">
        <f>C18-C14</f>
        <v>840883180.92521572</v>
      </c>
      <c r="D15" s="383">
        <f>D18-D14</f>
        <v>893064189.92521572</v>
      </c>
      <c r="E15" s="1489">
        <f t="shared" si="4"/>
        <v>52181009</v>
      </c>
      <c r="F15" s="445">
        <f>-F14</f>
        <v>-382177437</v>
      </c>
      <c r="G15" s="386">
        <f>-G14</f>
        <v>-295889906</v>
      </c>
      <c r="H15" s="386">
        <f>-H14</f>
        <v>-290082939</v>
      </c>
      <c r="I15" s="1482">
        <f t="shared" si="5"/>
        <v>5806967</v>
      </c>
      <c r="J15" s="570"/>
      <c r="K15" s="383"/>
      <c r="L15" s="383"/>
      <c r="M15" s="1482">
        <f t="shared" si="6"/>
        <v>0</v>
      </c>
      <c r="N15" s="382">
        <f>'2.sz.tábla   (2)'!B92-'2.sz.tábla   (2)'!B75-'2.sz.tábla   (2)'!B8</f>
        <v>8404882840</v>
      </c>
      <c r="O15" s="375">
        <f>'2.sz.tábla   (2)'!C92-'2.sz.tábla   (2)'!C75-'2.sz.tábla   (2)'!C8-'2.sz.tábla   (2)'!C23</f>
        <v>9974467069</v>
      </c>
      <c r="P15" s="375">
        <f>'2.sz.tábla   (2)'!D92-'2.sz.tábla   (2)'!D75-'2.sz.tábla   (2)'!D8-'2.sz.tábla   (2)'!D23</f>
        <v>9503127538</v>
      </c>
      <c r="Q15" s="1482">
        <f t="shared" si="7"/>
        <v>-471339531</v>
      </c>
      <c r="R15" s="381" t="s">
        <v>387</v>
      </c>
      <c r="S15" s="375">
        <f>'2.sz.tábla   (2)'!B76</f>
        <v>2863791597</v>
      </c>
      <c r="T15" s="375">
        <f>'2.sz.tábla   (2)'!C76</f>
        <v>3054641190</v>
      </c>
      <c r="U15" s="375">
        <f>'2.sz.tábla   (2)'!D76</f>
        <v>3054641190</v>
      </c>
      <c r="V15" s="1257">
        <f t="shared" si="3"/>
        <v>0</v>
      </c>
      <c r="W15" s="382">
        <f>'2.sz.tábla   (2)'!B79</f>
        <v>438387185</v>
      </c>
      <c r="X15" s="383">
        <f>'2.sz.tábla   (2)'!C79</f>
        <v>2302112000</v>
      </c>
      <c r="Y15" s="383">
        <f>'2.sz.tábla   (2)'!D79</f>
        <v>2302112000</v>
      </c>
      <c r="Z15" s="383">
        <f>Y15-X15</f>
        <v>0</v>
      </c>
      <c r="AA15" s="445">
        <f>J15+N15+S15+W15+F15+B15</f>
        <v>12097944577</v>
      </c>
      <c r="AB15" s="386">
        <f>K15+O15+T15+X15+G15+C15</f>
        <v>15876213533.925217</v>
      </c>
      <c r="AC15" s="386">
        <f>L15+P15+U15+Y15+H15+D15</f>
        <v>15462861978.925217</v>
      </c>
      <c r="AD15" s="1494">
        <f t="shared" si="8"/>
        <v>-413351555</v>
      </c>
      <c r="AE15" s="445"/>
      <c r="AF15" s="386"/>
      <c r="AG15" s="1150"/>
      <c r="AH15" s="386"/>
      <c r="AI15" s="384"/>
      <c r="AJ15" s="36"/>
      <c r="AK15" s="36"/>
      <c r="AL15" s="36"/>
      <c r="AM15" s="36"/>
      <c r="AO15" s="16"/>
      <c r="AP15" s="36"/>
      <c r="AQ15" s="36"/>
      <c r="AR15" s="16"/>
      <c r="AS15" s="36"/>
      <c r="AT15" s="36"/>
      <c r="AU15" s="36"/>
      <c r="AV15" s="36"/>
      <c r="AW15" s="36"/>
      <c r="AX15" s="36"/>
      <c r="AY15" s="36"/>
      <c r="AZ15" s="36"/>
      <c r="BA15" s="36"/>
    </row>
    <row r="16" spans="1:55" s="13" customFormat="1" ht="15.75" thickBot="1" x14ac:dyDescent="0.3">
      <c r="A16" s="352" t="s">
        <v>110</v>
      </c>
      <c r="B16" s="446">
        <f t="shared" ref="B16" si="25">SUM(B14:B15)</f>
        <v>1014730134</v>
      </c>
      <c r="C16" s="446">
        <f t="shared" ref="C16" si="26">SUM(C14:C15)</f>
        <v>1131376499</v>
      </c>
      <c r="D16" s="446">
        <f t="shared" ref="D16" si="27">SUM(D14:D15)</f>
        <v>1184702280</v>
      </c>
      <c r="E16" s="1490">
        <f t="shared" si="4"/>
        <v>53325781</v>
      </c>
      <c r="F16" s="447">
        <f t="shared" ref="F16" si="28">SUM(F14:F15)</f>
        <v>0</v>
      </c>
      <c r="G16" s="446"/>
      <c r="H16" s="446"/>
      <c r="I16" s="275"/>
      <c r="J16" s="447">
        <f t="shared" ref="J16" si="29">SUM(J14:J15)</f>
        <v>623847179</v>
      </c>
      <c r="K16" s="353">
        <f t="shared" ref="K16:L16" si="30">SUM(K14:K15)</f>
        <v>586383224.07478428</v>
      </c>
      <c r="L16" s="353">
        <f t="shared" si="30"/>
        <v>581721029.07478428</v>
      </c>
      <c r="M16" s="1484">
        <f t="shared" si="6"/>
        <v>-4662195</v>
      </c>
      <c r="N16" s="274">
        <f t="shared" ref="N16:O16" si="31">SUM(N14:N15)</f>
        <v>8662783725</v>
      </c>
      <c r="O16" s="172">
        <f t="shared" si="31"/>
        <v>10254045729</v>
      </c>
      <c r="P16" s="172">
        <f t="shared" ref="P16" si="32">SUM(P14:P15)</f>
        <v>9783932198</v>
      </c>
      <c r="Q16" s="1484">
        <f t="shared" si="7"/>
        <v>-470113531</v>
      </c>
      <c r="R16" s="352" t="s">
        <v>110</v>
      </c>
      <c r="S16" s="172">
        <f t="shared" ref="S16" si="33">SUM(S14:S15)</f>
        <v>2874497034</v>
      </c>
      <c r="T16" s="172">
        <f>SUM(T14:T15)</f>
        <v>3119095564</v>
      </c>
      <c r="U16" s="172">
        <f>SUM(U14:U15)</f>
        <v>3119095564</v>
      </c>
      <c r="V16" s="1492">
        <f t="shared" si="3"/>
        <v>0</v>
      </c>
      <c r="W16" s="172">
        <f t="shared" ref="W16:AB16" si="34">SUM(W14:W15)</f>
        <v>438387185</v>
      </c>
      <c r="X16" s="172">
        <f t="shared" ref="X16:Y16" si="35">SUM(X14:X15)</f>
        <v>2302112000</v>
      </c>
      <c r="Y16" s="172">
        <f t="shared" si="35"/>
        <v>2302112000</v>
      </c>
      <c r="Z16" s="172">
        <f t="shared" si="34"/>
        <v>0</v>
      </c>
      <c r="AA16" s="274">
        <f t="shared" si="34"/>
        <v>12990398078</v>
      </c>
      <c r="AB16" s="294">
        <f t="shared" si="34"/>
        <v>16806629792</v>
      </c>
      <c r="AC16" s="294">
        <f t="shared" ref="AC16" si="36">SUM(AC14:AC15)</f>
        <v>16389842042</v>
      </c>
      <c r="AD16" s="1495">
        <f t="shared" si="8"/>
        <v>-416787750</v>
      </c>
      <c r="AE16" s="447"/>
      <c r="AF16" s="446"/>
      <c r="AG16" s="1151"/>
      <c r="AH16" s="1152"/>
      <c r="AI16" s="1153"/>
      <c r="AJ16" s="39"/>
      <c r="AK16" s="39"/>
      <c r="AL16" s="39"/>
      <c r="AM16" s="39"/>
      <c r="AN16" s="39"/>
      <c r="AO16" s="39"/>
      <c r="AQ16" s="12"/>
      <c r="AR16" s="39"/>
      <c r="AS16" s="39"/>
      <c r="AT16" s="12"/>
      <c r="AU16" s="39"/>
      <c r="AV16" s="39"/>
      <c r="AW16" s="39"/>
      <c r="AX16" s="39"/>
      <c r="AY16" s="39"/>
      <c r="AZ16" s="39"/>
      <c r="BA16" s="39"/>
      <c r="BB16" s="39"/>
      <c r="BC16" s="39"/>
    </row>
    <row r="17" spans="2:34" x14ac:dyDescent="0.2">
      <c r="C17" s="448"/>
      <c r="D17" s="448"/>
      <c r="E17" s="448"/>
      <c r="AD17" s="448">
        <f>'2.sz.tábla   (2)'!Q92</f>
        <v>-416008364</v>
      </c>
      <c r="AF17" s="448"/>
      <c r="AH17" s="448"/>
    </row>
    <row r="18" spans="2:34" x14ac:dyDescent="0.2">
      <c r="B18" s="448">
        <v>1008634125</v>
      </c>
      <c r="C18" s="448">
        <f>'2c. tábla 2020. (2)'!L119</f>
        <v>1131376499</v>
      </c>
      <c r="D18" s="448">
        <v>1184702280</v>
      </c>
      <c r="E18" s="448"/>
      <c r="AD18" s="448">
        <f>AD16-AD17</f>
        <v>-779386</v>
      </c>
    </row>
    <row r="19" spans="2:34" x14ac:dyDescent="0.2">
      <c r="O19" s="29"/>
      <c r="P19" s="29"/>
      <c r="Q19" s="29"/>
    </row>
  </sheetData>
  <sheetProtection selectLockedCells="1" selectUnlockedCells="1"/>
  <mergeCells count="19">
    <mergeCell ref="R6:R8"/>
    <mergeCell ref="A6:A8"/>
    <mergeCell ref="B6:E7"/>
    <mergeCell ref="F6:I7"/>
    <mergeCell ref="J6:M7"/>
    <mergeCell ref="N6:Q7"/>
    <mergeCell ref="A1:N1"/>
    <mergeCell ref="S1:AD1"/>
    <mergeCell ref="A2:N2"/>
    <mergeCell ref="R2:AD2"/>
    <mergeCell ref="A3:Q3"/>
    <mergeCell ref="R3:AI3"/>
    <mergeCell ref="AE6:AI6"/>
    <mergeCell ref="AE7:AE8"/>
    <mergeCell ref="AF7:AG7"/>
    <mergeCell ref="AH7:AI7"/>
    <mergeCell ref="S6:V7"/>
    <mergeCell ref="W6:Z7"/>
    <mergeCell ref="AA6:AD7"/>
  </mergeCells>
  <printOptions horizontalCentered="1"/>
  <pageMargins left="0.25" right="0.25" top="0.75" bottom="0.75" header="0.3" footer="0.3"/>
  <pageSetup paperSize="9" scale="49" firstPageNumber="0" fitToWidth="0" fitToHeight="0" orientation="landscape" r:id="rId1"/>
  <headerFooter alignWithMargins="0">
    <oddHeader xml:space="preserve">&amp;C3. melléklet
 az önkormányzat 2020. évi költségvetéséről szóló 6/2019. (III.06.) önkormányzati rendelethez
a 42/2020. (XII.21.) önkormányzati rendelet módosítással egységes szerkezetbe foglalva:  &amp;R
&amp;P. oldal
</oddHeader>
  </headerFooter>
  <colBreaks count="1" manualBreakCount="1">
    <brk id="17" max="15" man="1"/>
  </colBreaks>
  <ignoredErrors>
    <ignoredError sqref="AA12"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Z15"/>
  <sheetViews>
    <sheetView view="pageLayout" topLeftCell="AQ1" zoomScaleNormal="100" zoomScaleSheetLayoutView="89" workbookViewId="0">
      <selection activeCell="BA15" sqref="BA15"/>
    </sheetView>
  </sheetViews>
  <sheetFormatPr defaultColWidth="9.140625" defaultRowHeight="14.25" x14ac:dyDescent="0.2"/>
  <cols>
    <col min="1" max="1" width="23.28515625" style="10" customWidth="1"/>
    <col min="2" max="5" width="13.28515625" style="10" customWidth="1"/>
    <col min="6" max="6" width="15.28515625" style="10" customWidth="1"/>
    <col min="7" max="8" width="14.7109375" style="10" customWidth="1"/>
    <col min="9" max="9" width="14.85546875" style="10" customWidth="1"/>
    <col min="10" max="10" width="16.140625" style="10" customWidth="1"/>
    <col min="11" max="12" width="14.7109375" style="10" customWidth="1"/>
    <col min="13" max="13" width="14.28515625" style="441" bestFit="1" customWidth="1"/>
    <col min="14" max="14" width="18.7109375" style="10" customWidth="1"/>
    <col min="15" max="15" width="14" style="10" customWidth="1"/>
    <col min="16" max="17" width="13.5703125" style="10" customWidth="1"/>
    <col min="18" max="18" width="12" style="10" customWidth="1"/>
    <col min="19" max="19" width="14" style="10" customWidth="1"/>
    <col min="20" max="21" width="14.28515625" style="10" customWidth="1"/>
    <col min="22" max="22" width="14.28515625" style="10" bestFit="1" customWidth="1"/>
    <col min="23" max="23" width="15.140625" style="10" customWidth="1"/>
    <col min="24" max="25" width="15.28515625" style="10" customWidth="1"/>
    <col min="26" max="26" width="15.85546875" style="10" customWidth="1"/>
    <col min="27" max="27" width="16.140625" style="10" customWidth="1"/>
    <col min="28" max="28" width="13" style="10" customWidth="1"/>
    <col min="29" max="30" width="12.28515625" style="10" customWidth="1"/>
    <col min="31" max="31" width="13.5703125" style="10" customWidth="1"/>
    <col min="32" max="32" width="12.5703125" style="10" customWidth="1"/>
    <col min="33" max="34" width="14.5703125" style="10" customWidth="1"/>
    <col min="35" max="35" width="14.85546875" style="10" customWidth="1"/>
    <col min="36" max="36" width="13" style="10" customWidth="1"/>
    <col min="37" max="38" width="12.28515625" style="10" customWidth="1"/>
    <col min="39" max="39" width="12.5703125" style="10" customWidth="1"/>
    <col min="40" max="40" width="16.42578125" style="10" customWidth="1"/>
    <col min="41" max="41" width="13" style="10" customWidth="1"/>
    <col min="42" max="43" width="12.7109375" style="10" customWidth="1"/>
    <col min="44" max="44" width="15" style="10" customWidth="1"/>
    <col min="45" max="45" width="15.5703125" style="10" customWidth="1"/>
    <col min="46" max="47" width="15.140625" style="10" customWidth="1"/>
    <col min="48" max="48" width="16.7109375" style="10" customWidth="1"/>
    <col min="49" max="49" width="14.28515625" style="10" customWidth="1"/>
    <col min="50" max="50" width="15.42578125" style="10" customWidth="1"/>
    <col min="51" max="52" width="13" style="10" customWidth="1"/>
    <col min="53" max="16384" width="9.140625" style="10"/>
  </cols>
  <sheetData>
    <row r="1" spans="1:52" s="643" customFormat="1" x14ac:dyDescent="0.2">
      <c r="C1" s="1409"/>
      <c r="D1" s="1409"/>
      <c r="E1" s="1409"/>
      <c r="F1" s="1409"/>
      <c r="G1" s="1409"/>
      <c r="H1" s="1409"/>
      <c r="M1" s="1623"/>
    </row>
    <row r="2" spans="1:52" ht="77.25" customHeight="1" x14ac:dyDescent="0.25">
      <c r="A2" s="1903" t="s">
        <v>983</v>
      </c>
      <c r="B2" s="1903"/>
      <c r="C2" s="1903"/>
      <c r="D2" s="1903"/>
      <c r="E2" s="1903"/>
      <c r="F2" s="1903"/>
      <c r="G2" s="1903"/>
      <c r="H2" s="1903"/>
      <c r="I2" s="1903"/>
      <c r="J2" s="1903"/>
      <c r="K2" s="1903"/>
      <c r="L2" s="1903"/>
      <c r="M2" s="1903"/>
      <c r="N2" s="1903" t="s">
        <v>983</v>
      </c>
      <c r="O2" s="1903"/>
      <c r="P2" s="1903"/>
      <c r="Q2" s="1903"/>
      <c r="R2" s="1903"/>
      <c r="S2" s="1903"/>
      <c r="T2" s="1903"/>
      <c r="U2" s="1903"/>
      <c r="V2" s="1903"/>
      <c r="W2" s="1903"/>
      <c r="X2" s="1903"/>
      <c r="Y2" s="1903"/>
      <c r="Z2" s="1903"/>
      <c r="AA2" s="1903" t="s">
        <v>983</v>
      </c>
      <c r="AB2" s="1903"/>
      <c r="AC2" s="1903"/>
      <c r="AD2" s="1903"/>
      <c r="AE2" s="1903"/>
      <c r="AF2" s="1903"/>
      <c r="AG2" s="1903"/>
      <c r="AH2" s="1903"/>
      <c r="AI2" s="1903"/>
      <c r="AJ2" s="1903"/>
      <c r="AK2" s="1903"/>
      <c r="AL2" s="1903"/>
      <c r="AM2" s="1903"/>
      <c r="AN2" s="1903" t="s">
        <v>983</v>
      </c>
      <c r="AO2" s="1903"/>
      <c r="AP2" s="1903"/>
      <c r="AQ2" s="1903"/>
      <c r="AR2" s="1903"/>
      <c r="AS2" s="1903"/>
      <c r="AT2" s="1903"/>
      <c r="AU2" s="1903"/>
      <c r="AV2" s="1903"/>
      <c r="AW2" s="1903"/>
      <c r="AX2" s="1903"/>
      <c r="AY2" s="1903"/>
    </row>
    <row r="3" spans="1:52" ht="15" thickBot="1" x14ac:dyDescent="0.25">
      <c r="W3" s="644"/>
      <c r="X3" s="644"/>
      <c r="Y3" s="644"/>
      <c r="Z3" s="644"/>
      <c r="AA3" s="644"/>
      <c r="AB3" s="644"/>
      <c r="AC3" s="644"/>
      <c r="AD3" s="404"/>
    </row>
    <row r="4" spans="1:52" s="449" customFormat="1" ht="46.5" customHeight="1" thickBot="1" x14ac:dyDescent="0.25">
      <c r="A4" s="641" t="s">
        <v>302</v>
      </c>
      <c r="B4" s="1981" t="s">
        <v>111</v>
      </c>
      <c r="C4" s="1982"/>
      <c r="D4" s="1982"/>
      <c r="E4" s="1982"/>
      <c r="F4" s="1983" t="s">
        <v>112</v>
      </c>
      <c r="G4" s="1984"/>
      <c r="H4" s="1984"/>
      <c r="I4" s="1985"/>
      <c r="J4" s="1981" t="s">
        <v>113</v>
      </c>
      <c r="K4" s="1982"/>
      <c r="L4" s="1982"/>
      <c r="M4" s="1986"/>
      <c r="N4" s="1973" t="s">
        <v>302</v>
      </c>
      <c r="O4" s="1983" t="s">
        <v>114</v>
      </c>
      <c r="P4" s="1984"/>
      <c r="Q4" s="1984"/>
      <c r="R4" s="1984"/>
      <c r="S4" s="1987" t="s">
        <v>115</v>
      </c>
      <c r="T4" s="1988"/>
      <c r="U4" s="1988"/>
      <c r="V4" s="1988"/>
      <c r="W4" s="1978" t="s">
        <v>116</v>
      </c>
      <c r="X4" s="1979"/>
      <c r="Y4" s="1979"/>
      <c r="Z4" s="1980"/>
      <c r="AA4" s="1973" t="s">
        <v>302</v>
      </c>
      <c r="AB4" s="1978" t="s">
        <v>117</v>
      </c>
      <c r="AC4" s="1979"/>
      <c r="AD4" s="1979"/>
      <c r="AE4" s="1979"/>
      <c r="AF4" s="1926" t="s">
        <v>118</v>
      </c>
      <c r="AG4" s="1927"/>
      <c r="AH4" s="1927"/>
      <c r="AI4" s="1927"/>
      <c r="AJ4" s="1978" t="s">
        <v>119</v>
      </c>
      <c r="AK4" s="1979"/>
      <c r="AL4" s="1979"/>
      <c r="AM4" s="1980"/>
      <c r="AN4" s="1973" t="s">
        <v>302</v>
      </c>
      <c r="AO4" s="1978" t="s">
        <v>323</v>
      </c>
      <c r="AP4" s="1979"/>
      <c r="AQ4" s="1979"/>
      <c r="AR4" s="1979"/>
      <c r="AS4" s="1978" t="s">
        <v>120</v>
      </c>
      <c r="AT4" s="1979"/>
      <c r="AU4" s="1979"/>
      <c r="AV4" s="1980"/>
      <c r="AW4" s="1958" t="s">
        <v>932</v>
      </c>
      <c r="AX4" s="1989"/>
      <c r="AY4" s="1959"/>
    </row>
    <row r="5" spans="1:52" s="41" customFormat="1" ht="52.5" customHeight="1" thickBot="1" x14ac:dyDescent="0.25">
      <c r="A5" s="642"/>
      <c r="B5" s="556" t="s">
        <v>660</v>
      </c>
      <c r="C5" s="390" t="s">
        <v>1021</v>
      </c>
      <c r="D5" s="390" t="s">
        <v>1111</v>
      </c>
      <c r="E5" s="391" t="s">
        <v>987</v>
      </c>
      <c r="F5" s="556" t="s">
        <v>660</v>
      </c>
      <c r="G5" s="390" t="s">
        <v>1021</v>
      </c>
      <c r="H5" s="390" t="s">
        <v>1111</v>
      </c>
      <c r="I5" s="391" t="s">
        <v>987</v>
      </c>
      <c r="J5" s="1458" t="s">
        <v>660</v>
      </c>
      <c r="K5" s="390" t="s">
        <v>1021</v>
      </c>
      <c r="L5" s="390" t="s">
        <v>1111</v>
      </c>
      <c r="M5" s="391" t="s">
        <v>987</v>
      </c>
      <c r="N5" s="1975"/>
      <c r="O5" s="1391" t="s">
        <v>660</v>
      </c>
      <c r="P5" s="390" t="s">
        <v>1021</v>
      </c>
      <c r="Q5" s="390" t="s">
        <v>1111</v>
      </c>
      <c r="R5" s="391" t="s">
        <v>987</v>
      </c>
      <c r="S5" s="1384" t="s">
        <v>660</v>
      </c>
      <c r="T5" s="390" t="s">
        <v>1021</v>
      </c>
      <c r="U5" s="390" t="s">
        <v>1111</v>
      </c>
      <c r="V5" s="391" t="s">
        <v>987</v>
      </c>
      <c r="W5" s="556" t="s">
        <v>660</v>
      </c>
      <c r="X5" s="390" t="s">
        <v>1021</v>
      </c>
      <c r="Y5" s="390" t="s">
        <v>1111</v>
      </c>
      <c r="Z5" s="391" t="s">
        <v>987</v>
      </c>
      <c r="AA5" s="1975"/>
      <c r="AB5" s="1391" t="s">
        <v>660</v>
      </c>
      <c r="AC5" s="390" t="s">
        <v>1021</v>
      </c>
      <c r="AD5" s="390" t="s">
        <v>1111</v>
      </c>
      <c r="AE5" s="391" t="s">
        <v>987</v>
      </c>
      <c r="AF5" s="556" t="s">
        <v>660</v>
      </c>
      <c r="AG5" s="390" t="s">
        <v>1021</v>
      </c>
      <c r="AH5" s="390" t="s">
        <v>1111</v>
      </c>
      <c r="AI5" s="391" t="s">
        <v>987</v>
      </c>
      <c r="AJ5" s="556" t="s">
        <v>660</v>
      </c>
      <c r="AK5" s="390" t="s">
        <v>1021</v>
      </c>
      <c r="AL5" s="390" t="s">
        <v>1111</v>
      </c>
      <c r="AM5" s="391" t="s">
        <v>987</v>
      </c>
      <c r="AN5" s="1975"/>
      <c r="AO5" s="556" t="s">
        <v>660</v>
      </c>
      <c r="AP5" s="390" t="s">
        <v>1021</v>
      </c>
      <c r="AQ5" s="390" t="s">
        <v>1111</v>
      </c>
      <c r="AR5" s="391" t="s">
        <v>987</v>
      </c>
      <c r="AS5" s="556" t="s">
        <v>660</v>
      </c>
      <c r="AT5" s="390" t="s">
        <v>1021</v>
      </c>
      <c r="AU5" s="390" t="s">
        <v>1111</v>
      </c>
      <c r="AV5" s="391" t="s">
        <v>987</v>
      </c>
      <c r="AW5" s="1154" t="s">
        <v>928</v>
      </c>
      <c r="AX5" s="1155" t="s">
        <v>929</v>
      </c>
      <c r="AY5" s="1156" t="s">
        <v>930</v>
      </c>
    </row>
    <row r="6" spans="1:52" s="35" customFormat="1" ht="28.5" customHeight="1" x14ac:dyDescent="0.2">
      <c r="A6" s="403" t="s">
        <v>202</v>
      </c>
      <c r="B6" s="733">
        <v>38052298</v>
      </c>
      <c r="C6" s="271">
        <v>38144119</v>
      </c>
      <c r="D6" s="271">
        <v>39877985</v>
      </c>
      <c r="E6" s="271">
        <f>D6-C6</f>
        <v>1733866</v>
      </c>
      <c r="F6" s="733">
        <v>6701937</v>
      </c>
      <c r="G6" s="271">
        <v>6520637</v>
      </c>
      <c r="H6" s="271">
        <v>6761529</v>
      </c>
      <c r="I6" s="683">
        <f>H6-G6</f>
        <v>240892</v>
      </c>
      <c r="J6" s="733">
        <v>12638000</v>
      </c>
      <c r="K6" s="271">
        <v>12537265</v>
      </c>
      <c r="L6" s="271">
        <v>12537265</v>
      </c>
      <c r="M6" s="683">
        <f>L6-K6</f>
        <v>0</v>
      </c>
      <c r="N6" s="1503" t="s">
        <v>202</v>
      </c>
      <c r="O6" s="270"/>
      <c r="P6" s="450"/>
      <c r="Q6" s="450"/>
      <c r="R6" s="450"/>
      <c r="S6" s="256"/>
      <c r="T6" s="596">
        <v>89479</v>
      </c>
      <c r="U6" s="596">
        <v>89479</v>
      </c>
      <c r="V6" s="1387">
        <f>U6-T6</f>
        <v>0</v>
      </c>
      <c r="W6" s="272">
        <f>16576000+1000000</f>
        <v>17576000</v>
      </c>
      <c r="X6" s="271">
        <f>'4a. sz. tábla (3)'!D5</f>
        <v>18754000</v>
      </c>
      <c r="Y6" s="271">
        <v>18121630</v>
      </c>
      <c r="Z6" s="683">
        <f>Y6-X6</f>
        <v>-632370</v>
      </c>
      <c r="AA6" s="403" t="s">
        <v>202</v>
      </c>
      <c r="AB6" s="295"/>
      <c r="AC6" s="158"/>
      <c r="AD6" s="158"/>
      <c r="AE6" s="158"/>
      <c r="AF6" s="272"/>
      <c r="AG6" s="158"/>
      <c r="AH6" s="158"/>
      <c r="AI6" s="158"/>
      <c r="AJ6" s="272"/>
      <c r="AK6" s="158"/>
      <c r="AL6" s="158"/>
      <c r="AM6" s="456"/>
      <c r="AN6" s="403" t="s">
        <v>202</v>
      </c>
      <c r="AO6" s="272"/>
      <c r="AP6" s="158"/>
      <c r="AQ6" s="158"/>
      <c r="AR6" s="158"/>
      <c r="AS6" s="273">
        <f t="shared" ref="AS6:AU8" si="0">SUM(AB6,AF6,AJ6,W6,S6,O6,J6,F6,B6)</f>
        <v>74968235</v>
      </c>
      <c r="AT6" s="451">
        <f t="shared" si="0"/>
        <v>76045500</v>
      </c>
      <c r="AU6" s="451">
        <f t="shared" si="0"/>
        <v>77387888</v>
      </c>
      <c r="AV6" s="452">
        <f>AU6-AT6</f>
        <v>1342388</v>
      </c>
      <c r="AW6" s="1144">
        <f>AU6</f>
        <v>77387888</v>
      </c>
      <c r="AX6" s="1157"/>
      <c r="AY6" s="1146"/>
      <c r="AZ6" s="453">
        <f t="shared" ref="AZ6:AZ9" si="1">SUM(AW6:AY6)</f>
        <v>77387888</v>
      </c>
    </row>
    <row r="7" spans="1:52" ht="57" x14ac:dyDescent="0.2">
      <c r="A7" s="169" t="s">
        <v>493</v>
      </c>
      <c r="B7" s="213">
        <v>135386000</v>
      </c>
      <c r="C7" s="153">
        <v>151460445</v>
      </c>
      <c r="D7" s="153">
        <v>151163145</v>
      </c>
      <c r="E7" s="153">
        <f>D7-C7</f>
        <v>-297300</v>
      </c>
      <c r="F7" s="213">
        <v>24038000</v>
      </c>
      <c r="G7" s="153">
        <v>25665494</v>
      </c>
      <c r="H7" s="153">
        <v>25208782</v>
      </c>
      <c r="I7" s="85">
        <f>H7-G7</f>
        <v>-456712</v>
      </c>
      <c r="J7" s="213">
        <v>101376000</v>
      </c>
      <c r="K7" s="74">
        <v>104166244</v>
      </c>
      <c r="L7" s="74">
        <v>105266244</v>
      </c>
      <c r="M7" s="360">
        <f>L7-K7</f>
        <v>1100000</v>
      </c>
      <c r="N7" s="1496" t="s">
        <v>493</v>
      </c>
      <c r="O7" s="230"/>
      <c r="P7" s="252"/>
      <c r="Q7" s="252"/>
      <c r="R7" s="252"/>
      <c r="S7" s="213"/>
      <c r="T7" s="597"/>
      <c r="U7" s="597"/>
      <c r="V7" s="597">
        <f>U7-T7</f>
        <v>0</v>
      </c>
      <c r="W7" s="230">
        <v>500000</v>
      </c>
      <c r="X7" s="74">
        <f>'4a. sz. tábla (3)'!D14</f>
        <v>2250470</v>
      </c>
      <c r="Y7" s="74">
        <v>2650470</v>
      </c>
      <c r="Z7" s="85">
        <f>Y7-X7</f>
        <v>400000</v>
      </c>
      <c r="AA7" s="169" t="s">
        <v>493</v>
      </c>
      <c r="AB7" s="454"/>
      <c r="AC7" s="158"/>
      <c r="AD7" s="158"/>
      <c r="AE7" s="158"/>
      <c r="AF7" s="230"/>
      <c r="AG7" s="252"/>
      <c r="AH7" s="252"/>
      <c r="AI7" s="252"/>
      <c r="AJ7" s="230"/>
      <c r="AK7" s="252"/>
      <c r="AL7" s="252"/>
      <c r="AM7" s="360"/>
      <c r="AN7" s="169" t="s">
        <v>493</v>
      </c>
      <c r="AO7" s="256"/>
      <c r="AP7" s="158"/>
      <c r="AQ7" s="158"/>
      <c r="AR7" s="158"/>
      <c r="AS7" s="213">
        <f t="shared" si="0"/>
        <v>261300000</v>
      </c>
      <c r="AT7" s="75">
        <f t="shared" si="0"/>
        <v>283542653</v>
      </c>
      <c r="AU7" s="75">
        <f t="shared" si="0"/>
        <v>284288641</v>
      </c>
      <c r="AV7" s="360">
        <f>AU7-AT7</f>
        <v>745988</v>
      </c>
      <c r="AW7" s="1144">
        <f>155111872+62161+17500000+39753+3062500+1566084+330200+1100000-297300-56712</f>
        <v>178418558</v>
      </c>
      <c r="AX7" s="1145">
        <f>106188128-2503878+74906-378673+39130+1450470+1000000</f>
        <v>105870083</v>
      </c>
      <c r="AY7" s="360"/>
      <c r="AZ7" s="453">
        <f>SUM(AW7:AY7)</f>
        <v>284288641</v>
      </c>
    </row>
    <row r="8" spans="1:52" s="38" customFormat="1" ht="29.25" customHeight="1" x14ac:dyDescent="0.2">
      <c r="A8" s="187" t="s">
        <v>494</v>
      </c>
      <c r="B8" s="213">
        <v>49624000</v>
      </c>
      <c r="C8" s="253">
        <v>50365134</v>
      </c>
      <c r="D8" s="253">
        <v>50439901</v>
      </c>
      <c r="E8" s="153">
        <f t="shared" ref="E8:E13" si="2">D8-C8</f>
        <v>74767</v>
      </c>
      <c r="F8" s="213">
        <v>8704000</v>
      </c>
      <c r="G8" s="253">
        <v>8526741</v>
      </c>
      <c r="H8" s="253">
        <v>8536885</v>
      </c>
      <c r="I8" s="85">
        <f t="shared" ref="I8:I13" si="3">H8-G8</f>
        <v>10144</v>
      </c>
      <c r="J8" s="213">
        <v>14953232</v>
      </c>
      <c r="K8" s="74">
        <v>14274405</v>
      </c>
      <c r="L8" s="74">
        <v>14194405</v>
      </c>
      <c r="M8" s="360">
        <f t="shared" ref="M8:M13" si="4">L8-K8</f>
        <v>-80000</v>
      </c>
      <c r="N8" s="1497" t="s">
        <v>494</v>
      </c>
      <c r="O8" s="230"/>
      <c r="P8" s="252"/>
      <c r="Q8" s="252"/>
      <c r="R8" s="252"/>
      <c r="S8" s="213"/>
      <c r="T8" s="598"/>
      <c r="U8" s="598"/>
      <c r="V8" s="598">
        <f>U8-T8</f>
        <v>0</v>
      </c>
      <c r="W8" s="230">
        <v>300000</v>
      </c>
      <c r="X8" s="74">
        <v>585281</v>
      </c>
      <c r="Y8" s="74">
        <v>665281</v>
      </c>
      <c r="Z8" s="85">
        <f t="shared" ref="Z8:Z13" si="5">Y8-X8</f>
        <v>80000</v>
      </c>
      <c r="AA8" s="187" t="s">
        <v>494</v>
      </c>
      <c r="AB8" s="454"/>
      <c r="AC8" s="159"/>
      <c r="AD8" s="159"/>
      <c r="AE8" s="159"/>
      <c r="AF8" s="230"/>
      <c r="AG8" s="254"/>
      <c r="AH8" s="254"/>
      <c r="AI8" s="254"/>
      <c r="AJ8" s="230"/>
      <c r="AK8" s="254"/>
      <c r="AL8" s="254"/>
      <c r="AM8" s="728"/>
      <c r="AN8" s="187" t="s">
        <v>494</v>
      </c>
      <c r="AO8" s="256"/>
      <c r="AP8" s="159"/>
      <c r="AQ8" s="159"/>
      <c r="AR8" s="159"/>
      <c r="AS8" s="213">
        <f t="shared" si="0"/>
        <v>73581232</v>
      </c>
      <c r="AT8" s="455">
        <f t="shared" si="0"/>
        <v>73751561</v>
      </c>
      <c r="AU8" s="455">
        <f t="shared" si="0"/>
        <v>73836472</v>
      </c>
      <c r="AV8" s="360">
        <f t="shared" ref="AV8:AV13" si="6">AU8-AT8</f>
        <v>84911</v>
      </c>
      <c r="AW8" s="1144">
        <f>69377318+211356-373657+225281+107349+138567+22348-63800-12204</f>
        <v>69632558</v>
      </c>
      <c r="AX8" s="1145">
        <v>4203914</v>
      </c>
      <c r="AY8" s="728"/>
      <c r="AZ8" s="453">
        <f>SUM(AW8:AY8)</f>
        <v>73836472</v>
      </c>
    </row>
    <row r="9" spans="1:52" s="13" customFormat="1" ht="28.15" customHeight="1" x14ac:dyDescent="0.25">
      <c r="A9" s="170" t="s">
        <v>109</v>
      </c>
      <c r="B9" s="214">
        <f t="shared" ref="B9" si="7">B6+B7+B8</f>
        <v>223062298</v>
      </c>
      <c r="C9" s="76">
        <f t="shared" ref="C9:D9" si="8">C6+C7+C8</f>
        <v>239969698</v>
      </c>
      <c r="D9" s="76">
        <f t="shared" si="8"/>
        <v>241481031</v>
      </c>
      <c r="E9" s="1505">
        <f t="shared" si="2"/>
        <v>1511333</v>
      </c>
      <c r="F9" s="214">
        <f t="shared" ref="F9" si="9">F6+F7+F8</f>
        <v>39443937</v>
      </c>
      <c r="G9" s="76">
        <f t="shared" ref="G9:H9" si="10">G6+G7+G8</f>
        <v>40712872</v>
      </c>
      <c r="H9" s="76">
        <f t="shared" si="10"/>
        <v>40507196</v>
      </c>
      <c r="I9" s="1506">
        <f t="shared" si="3"/>
        <v>-205676</v>
      </c>
      <c r="J9" s="734">
        <f t="shared" ref="J9" si="11">J6+J7+J8</f>
        <v>128967232</v>
      </c>
      <c r="K9" s="564">
        <f t="shared" ref="K9:L9" si="12">K6+K7+K8</f>
        <v>130977914</v>
      </c>
      <c r="L9" s="564">
        <f t="shared" si="12"/>
        <v>131997914</v>
      </c>
      <c r="M9" s="190">
        <f t="shared" si="4"/>
        <v>1020000</v>
      </c>
      <c r="N9" s="1498" t="s">
        <v>109</v>
      </c>
      <c r="O9" s="214">
        <f t="shared" ref="O9:R9" si="13">O6+O7+O8</f>
        <v>0</v>
      </c>
      <c r="P9" s="76">
        <f t="shared" si="13"/>
        <v>0</v>
      </c>
      <c r="Q9" s="76">
        <f t="shared" ref="Q9" si="14">Q6+Q7+Q8</f>
        <v>0</v>
      </c>
      <c r="R9" s="76">
        <f t="shared" si="13"/>
        <v>0</v>
      </c>
      <c r="S9" s="214">
        <f t="shared" ref="S9" si="15">S6+S7+S8</f>
        <v>0</v>
      </c>
      <c r="T9" s="129">
        <f t="shared" ref="T9:U9" si="16">T6+T7+T8</f>
        <v>89479</v>
      </c>
      <c r="U9" s="129">
        <f t="shared" si="16"/>
        <v>89479</v>
      </c>
      <c r="V9" s="1507">
        <f t="shared" ref="V9:V13" si="17">U9-T9</f>
        <v>0</v>
      </c>
      <c r="W9" s="214">
        <f t="shared" ref="W9:AI9" si="18">W6+W7+W8</f>
        <v>18376000</v>
      </c>
      <c r="X9" s="76">
        <f t="shared" si="18"/>
        <v>21589751</v>
      </c>
      <c r="Y9" s="76">
        <f t="shared" ref="Y9" si="19">Y6+Y7+Y8</f>
        <v>21437381</v>
      </c>
      <c r="Z9" s="1506">
        <f t="shared" si="5"/>
        <v>-152370</v>
      </c>
      <c r="AA9" s="170" t="s">
        <v>109</v>
      </c>
      <c r="AB9" s="128">
        <f t="shared" si="18"/>
        <v>0</v>
      </c>
      <c r="AC9" s="76"/>
      <c r="AD9" s="76"/>
      <c r="AE9" s="76">
        <f t="shared" si="18"/>
        <v>0</v>
      </c>
      <c r="AF9" s="214">
        <f t="shared" si="18"/>
        <v>0</v>
      </c>
      <c r="AG9" s="129"/>
      <c r="AH9" s="129"/>
      <c r="AI9" s="129">
        <f t="shared" si="18"/>
        <v>0</v>
      </c>
      <c r="AJ9" s="214">
        <f>AJ6+AJ7+AJ8</f>
        <v>0</v>
      </c>
      <c r="AK9" s="129"/>
      <c r="AL9" s="129"/>
      <c r="AM9" s="190">
        <f t="shared" ref="AM9:AR9" si="20">AM6+AM7+AM8</f>
        <v>0</v>
      </c>
      <c r="AN9" s="170" t="s">
        <v>109</v>
      </c>
      <c r="AO9" s="214">
        <f>AO6+AO7+AO8</f>
        <v>0</v>
      </c>
      <c r="AP9" s="76"/>
      <c r="AQ9" s="76"/>
      <c r="AR9" s="76">
        <f t="shared" si="20"/>
        <v>0</v>
      </c>
      <c r="AS9" s="214">
        <f>AS6+AS7+AS8</f>
        <v>409849467</v>
      </c>
      <c r="AT9" s="76">
        <f>AT6+AT7+AT8</f>
        <v>433339714</v>
      </c>
      <c r="AU9" s="76">
        <f>AU6+AU7+AU8</f>
        <v>435513001</v>
      </c>
      <c r="AV9" s="190">
        <f t="shared" si="6"/>
        <v>2173287</v>
      </c>
      <c r="AW9" s="214">
        <f>SUM(AW6:AW8)</f>
        <v>325439004</v>
      </c>
      <c r="AX9" s="76">
        <f>SUM(AX6:AX8)</f>
        <v>110073997</v>
      </c>
      <c r="AY9" s="190">
        <f>SUM(AY6:AY8)</f>
        <v>0</v>
      </c>
      <c r="AZ9" s="394">
        <f t="shared" si="1"/>
        <v>435513001</v>
      </c>
    </row>
    <row r="10" spans="1:52" s="42" customFormat="1" ht="27" customHeight="1" x14ac:dyDescent="0.2">
      <c r="A10" s="188" t="s">
        <v>201</v>
      </c>
      <c r="B10" s="74">
        <f>'5.tábla (2)'!B7</f>
        <v>325251408</v>
      </c>
      <c r="C10" s="74">
        <f>'5.tábla (2)'!C7</f>
        <v>323835877</v>
      </c>
      <c r="D10" s="74">
        <f>'5.tábla (2)'!D7</f>
        <v>319488147</v>
      </c>
      <c r="E10" s="153">
        <f t="shared" si="2"/>
        <v>-4347730</v>
      </c>
      <c r="F10" s="230">
        <f>'5.tábla (2)'!B16</f>
        <v>63721683</v>
      </c>
      <c r="G10" s="74">
        <f>'5.tábla (2)'!C16</f>
        <v>63859625</v>
      </c>
      <c r="H10" s="74">
        <f>'5.tábla (2)'!D16</f>
        <v>62798566</v>
      </c>
      <c r="I10" s="85">
        <f t="shared" si="3"/>
        <v>-1061059</v>
      </c>
      <c r="J10" s="230">
        <f>'5.tábla (2)'!B25</f>
        <v>81030943</v>
      </c>
      <c r="K10" s="74">
        <f>'5.tábla (2)'!C25</f>
        <v>85468681</v>
      </c>
      <c r="L10" s="74">
        <f>'5.tábla (2)'!D25</f>
        <v>85267988</v>
      </c>
      <c r="M10" s="360">
        <f t="shared" si="4"/>
        <v>-200693</v>
      </c>
      <c r="N10" s="1499" t="s">
        <v>201</v>
      </c>
      <c r="O10" s="213">
        <f>'5.tábla (2)'!B31+'5.tábla (2)'!B33</f>
        <v>0</v>
      </c>
      <c r="P10" s="75">
        <f>'5.tábla (2)'!C31+'5.tábla (2)'!C33</f>
        <v>0</v>
      </c>
      <c r="Q10" s="75">
        <f>'5.tábla (2)'!D31+'5.tábla (2)'!D33</f>
        <v>0</v>
      </c>
      <c r="R10" s="75">
        <f>'5.tábla (2)'!E31+'5.tábla (2)'!E33</f>
        <v>0</v>
      </c>
      <c r="S10" s="567">
        <f>'5.tábla (2)'!B35</f>
        <v>0</v>
      </c>
      <c r="T10" s="254">
        <f>'5.tábla (2)'!C35</f>
        <v>2884470</v>
      </c>
      <c r="U10" s="254">
        <f>'5.tábla (2)'!D35</f>
        <v>2884470</v>
      </c>
      <c r="V10" s="598">
        <f t="shared" si="17"/>
        <v>0</v>
      </c>
      <c r="W10" s="230">
        <f>'5.tábla (2)'!B37</f>
        <v>12600000</v>
      </c>
      <c r="X10" s="74">
        <f>'5.tábla (2)'!C37</f>
        <v>21027891</v>
      </c>
      <c r="Y10" s="74">
        <f>'5.tábla (2)'!D37</f>
        <v>21027891</v>
      </c>
      <c r="Z10" s="85">
        <f t="shared" si="5"/>
        <v>0</v>
      </c>
      <c r="AA10" s="188" t="s">
        <v>201</v>
      </c>
      <c r="AB10" s="454"/>
      <c r="AC10" s="158"/>
      <c r="AD10" s="158"/>
      <c r="AE10" s="158"/>
      <c r="AF10" s="230"/>
      <c r="AG10" s="158"/>
      <c r="AH10" s="158"/>
      <c r="AI10" s="158"/>
      <c r="AJ10" s="230"/>
      <c r="AK10" s="604"/>
      <c r="AL10" s="604"/>
      <c r="AM10" s="729"/>
      <c r="AN10" s="188" t="s">
        <v>201</v>
      </c>
      <c r="AO10" s="230"/>
      <c r="AP10" s="604"/>
      <c r="AQ10" s="604"/>
      <c r="AR10" s="604"/>
      <c r="AS10" s="213">
        <f>SUM(AB10,AF10,AJ10,W10,S10,O10,J10,F10,B10)</f>
        <v>482604034</v>
      </c>
      <c r="AT10" s="75">
        <f>SUM(AC10,AG10,AK10,X10,T10,P10,K10,G10,C10)</f>
        <v>497076544</v>
      </c>
      <c r="AU10" s="75">
        <f>SUM(AD10,AH10,AL10,Y10,U10,Q10,L10,H10,D10)</f>
        <v>491467062</v>
      </c>
      <c r="AV10" s="360">
        <f t="shared" si="6"/>
        <v>-5609482</v>
      </c>
      <c r="AW10" s="1147">
        <f>AU10-AX10-AY10</f>
        <v>388760646</v>
      </c>
      <c r="AX10" s="1148">
        <f>'9. sz. tábla (2)'!H65</f>
        <v>11662924</v>
      </c>
      <c r="AY10" s="1149">
        <f>'9. sz. tábla (2)'!H84+'9. sz. tábla (2)'!H93</f>
        <v>91043492</v>
      </c>
      <c r="AZ10" s="453">
        <f>SUM(AW10:AY10)</f>
        <v>491467062</v>
      </c>
    </row>
    <row r="11" spans="1:52" s="13" customFormat="1" ht="45.75" thickBot="1" x14ac:dyDescent="0.3">
      <c r="A11" s="372" t="s">
        <v>108</v>
      </c>
      <c r="B11" s="373">
        <f t="shared" ref="B11" si="21">SUM(B9:B10)</f>
        <v>548313706</v>
      </c>
      <c r="C11" s="346">
        <f t="shared" ref="C11:D11" si="22">SUM(C9:C10)</f>
        <v>563805575</v>
      </c>
      <c r="D11" s="346">
        <f t="shared" si="22"/>
        <v>560969178</v>
      </c>
      <c r="E11" s="1508">
        <f t="shared" si="2"/>
        <v>-2836397</v>
      </c>
      <c r="F11" s="380">
        <f t="shared" ref="F11:G11" si="23">SUM(F9:F10)</f>
        <v>103165620</v>
      </c>
      <c r="G11" s="378">
        <f t="shared" si="23"/>
        <v>104572497</v>
      </c>
      <c r="H11" s="378">
        <f t="shared" ref="H11" si="24">SUM(H9:H10)</f>
        <v>103305762</v>
      </c>
      <c r="I11" s="1508">
        <f t="shared" si="3"/>
        <v>-1266735</v>
      </c>
      <c r="J11" s="373">
        <f t="shared" ref="J11" si="25">SUM(J9:J10)</f>
        <v>209998175</v>
      </c>
      <c r="K11" s="346">
        <f t="shared" ref="K11:L11" si="26">SUM(K9:K10)</f>
        <v>216446595</v>
      </c>
      <c r="L11" s="346">
        <f t="shared" si="26"/>
        <v>217265902</v>
      </c>
      <c r="M11" s="347">
        <f t="shared" si="4"/>
        <v>819307</v>
      </c>
      <c r="N11" s="1500" t="s">
        <v>108</v>
      </c>
      <c r="O11" s="377">
        <f>SUM(O9:O10)</f>
        <v>0</v>
      </c>
      <c r="P11" s="385">
        <f t="shared" ref="P11" si="27">SUM(P9:P10)</f>
        <v>0</v>
      </c>
      <c r="Q11" s="385">
        <f t="shared" ref="Q11" si="28">SUM(Q9:Q10)</f>
        <v>0</v>
      </c>
      <c r="R11" s="385">
        <f t="shared" ref="R11" si="29">SUM(R9:R10)</f>
        <v>0</v>
      </c>
      <c r="S11" s="373">
        <f t="shared" ref="S11" si="30">SUM(S9:S10)</f>
        <v>0</v>
      </c>
      <c r="T11" s="351">
        <f t="shared" ref="T11:U11" si="31">SUM(T9:T10)</f>
        <v>2973949</v>
      </c>
      <c r="U11" s="351">
        <f t="shared" si="31"/>
        <v>2973949</v>
      </c>
      <c r="V11" s="1509">
        <f t="shared" si="17"/>
        <v>0</v>
      </c>
      <c r="W11" s="373">
        <f t="shared" ref="W11:AI11" si="32">SUM(W9:W10)</f>
        <v>30976000</v>
      </c>
      <c r="X11" s="346">
        <f t="shared" si="32"/>
        <v>42617642</v>
      </c>
      <c r="Y11" s="346">
        <f t="shared" ref="Y11" si="33">SUM(Y9:Y10)</f>
        <v>42465272</v>
      </c>
      <c r="Z11" s="1508">
        <f t="shared" si="5"/>
        <v>-152370</v>
      </c>
      <c r="AA11" s="372" t="s">
        <v>108</v>
      </c>
      <c r="AB11" s="444">
        <f t="shared" si="32"/>
        <v>0</v>
      </c>
      <c r="AC11" s="595"/>
      <c r="AD11" s="595"/>
      <c r="AE11" s="595"/>
      <c r="AF11" s="345">
        <f t="shared" si="32"/>
        <v>0</v>
      </c>
      <c r="AG11" s="351"/>
      <c r="AH11" s="351"/>
      <c r="AI11" s="351">
        <f t="shared" si="32"/>
        <v>0</v>
      </c>
      <c r="AJ11" s="345">
        <f t="shared" ref="AJ11:AY11" si="34">SUM(AJ9:AJ10)</f>
        <v>0</v>
      </c>
      <c r="AK11" s="351"/>
      <c r="AL11" s="351"/>
      <c r="AM11" s="347">
        <f t="shared" si="34"/>
        <v>0</v>
      </c>
      <c r="AN11" s="372" t="s">
        <v>108</v>
      </c>
      <c r="AO11" s="345">
        <f t="shared" si="34"/>
        <v>0</v>
      </c>
      <c r="AP11" s="346"/>
      <c r="AQ11" s="346"/>
      <c r="AR11" s="346">
        <f t="shared" si="34"/>
        <v>0</v>
      </c>
      <c r="AS11" s="373">
        <f t="shared" si="34"/>
        <v>892453501</v>
      </c>
      <c r="AT11" s="346">
        <f t="shared" si="34"/>
        <v>930416258</v>
      </c>
      <c r="AU11" s="346">
        <f t="shared" ref="AU11" si="35">SUM(AU9:AU10)</f>
        <v>926980063</v>
      </c>
      <c r="AV11" s="347">
        <f t="shared" si="6"/>
        <v>-3436195</v>
      </c>
      <c r="AW11" s="380">
        <f t="shared" si="34"/>
        <v>714199650</v>
      </c>
      <c r="AX11" s="346">
        <f t="shared" si="34"/>
        <v>121736921</v>
      </c>
      <c r="AY11" s="727">
        <f t="shared" si="34"/>
        <v>91043492</v>
      </c>
      <c r="AZ11" s="394">
        <f>SUM(AW11:AY11)</f>
        <v>926980063</v>
      </c>
    </row>
    <row r="12" spans="1:52" ht="15" thickBot="1" x14ac:dyDescent="0.25">
      <c r="A12" s="370" t="s">
        <v>387</v>
      </c>
      <c r="B12" s="382">
        <f>'5.tábla (2)'!B46</f>
        <v>115713271</v>
      </c>
      <c r="C12" s="383">
        <f>'5.tábla (2)'!C46</f>
        <v>122457191</v>
      </c>
      <c r="D12" s="383">
        <f>'5.tábla (2)'!D46</f>
        <v>125848387</v>
      </c>
      <c r="E12" s="379">
        <f t="shared" si="2"/>
        <v>3391196</v>
      </c>
      <c r="F12" s="382">
        <f>'5.tábla (2)'!B61</f>
        <v>18849518</v>
      </c>
      <c r="G12" s="375">
        <f>'5.tábla (2)'!C61</f>
        <v>19701451</v>
      </c>
      <c r="H12" s="375">
        <f>'5.tábla (2)'!D61</f>
        <v>21158997</v>
      </c>
      <c r="I12" s="379">
        <f t="shared" si="3"/>
        <v>1457546</v>
      </c>
      <c r="J12" s="367">
        <f>'5.tábla (2)'!B75</f>
        <v>1128251078</v>
      </c>
      <c r="K12" s="565">
        <f>'5.tábla (2)'!C75</f>
        <v>1189014049</v>
      </c>
      <c r="L12" s="565">
        <f>'5.tábla (2)'!D75</f>
        <v>1111068870</v>
      </c>
      <c r="M12" s="384">
        <f t="shared" si="4"/>
        <v>-77945179</v>
      </c>
      <c r="N12" s="1501" t="s">
        <v>387</v>
      </c>
      <c r="O12" s="445">
        <f>'5.tábla (2)'!B124</f>
        <v>27600000</v>
      </c>
      <c r="P12" s="1150">
        <f>'5.tábla (2)'!C124</f>
        <v>27600000</v>
      </c>
      <c r="Q12" s="1150">
        <f>'5.tábla (2)'!D124</f>
        <v>30600000</v>
      </c>
      <c r="R12" s="384">
        <f>Q12-P12</f>
        <v>3000000</v>
      </c>
      <c r="S12" s="369">
        <f>'5.tábla (2)'!B134</f>
        <v>1355809612</v>
      </c>
      <c r="T12" s="682">
        <f>'5.tábla (2)'!C134</f>
        <v>1221427820</v>
      </c>
      <c r="U12" s="682">
        <f>'5.tábla (2)'!D134</f>
        <v>1229156400</v>
      </c>
      <c r="V12" s="1504">
        <f t="shared" si="17"/>
        <v>7728580</v>
      </c>
      <c r="W12" s="382">
        <f>'7. sz. tábla 1'!B170</f>
        <v>8739294986</v>
      </c>
      <c r="X12" s="375">
        <f>'7. sz. tábla 1'!C170</f>
        <v>10078929594</v>
      </c>
      <c r="Y12" s="375">
        <f>'7. sz. tábla 1'!D170</f>
        <v>9762627560</v>
      </c>
      <c r="Z12" s="379">
        <f t="shared" si="5"/>
        <v>-316302034</v>
      </c>
      <c r="AA12" s="370" t="s">
        <v>387</v>
      </c>
      <c r="AB12" s="382">
        <f>'7. sz. tábla 1'!B242</f>
        <v>107408627</v>
      </c>
      <c r="AC12" s="375">
        <f>'7. sz. tábla 1'!C242</f>
        <v>108425627</v>
      </c>
      <c r="AD12" s="375">
        <f>'7. sz. tábla 1'!D242</f>
        <v>112001247</v>
      </c>
      <c r="AE12" s="379">
        <f>AD12-AC12</f>
        <v>3575620</v>
      </c>
      <c r="AF12" s="369">
        <f>'7. sz. tábla 1'!B229</f>
        <v>236380585</v>
      </c>
      <c r="AG12" s="369">
        <f>'7. sz. tábla 1'!C229</f>
        <v>1808313444</v>
      </c>
      <c r="AH12" s="369">
        <f>'7. sz. tábla 1'!D229</f>
        <v>1807660444</v>
      </c>
      <c r="AI12" s="369">
        <f>AH12-AG12</f>
        <v>-653000</v>
      </c>
      <c r="AJ12" s="730">
        <f>'7. sz. tábla 1'!B237</f>
        <v>127631629</v>
      </c>
      <c r="AK12" s="368">
        <f>'7. sz. tábla 1'!C237</f>
        <v>927631629</v>
      </c>
      <c r="AL12" s="368">
        <f>'7. sz. tábla 1'!D237</f>
        <v>927631629</v>
      </c>
      <c r="AM12" s="379">
        <f>'7. sz. tábla 1'!E237</f>
        <v>0</v>
      </c>
      <c r="AN12" s="370" t="s">
        <v>387</v>
      </c>
      <c r="AO12" s="367">
        <f>'1.sz.tábla   (2)'!B30</f>
        <v>241005271</v>
      </c>
      <c r="AP12" s="375">
        <f>'1.sz.tábla   (2)'!C30</f>
        <v>372712729</v>
      </c>
      <c r="AQ12" s="375">
        <f>'1.sz.tábla   (2)'!D30</f>
        <v>335108445</v>
      </c>
      <c r="AR12" s="375">
        <f>AQ12-AP12</f>
        <v>-37604284</v>
      </c>
      <c r="AS12" s="371">
        <f>SUM(AB12,AF12,AJ12,W12,S12,O12,J12,F12,B12,AO12)</f>
        <v>12097944577</v>
      </c>
      <c r="AT12" s="371">
        <f>SUM(AC12,AG12,AK12,X12,T12,P12,K12,G12,C12,AP12)</f>
        <v>15876213534</v>
      </c>
      <c r="AU12" s="371">
        <f>SUM(AD12,AH12,AL12,Y12,U12,Q12,L12,H12,D12,AQ12)</f>
        <v>15462861979</v>
      </c>
      <c r="AV12" s="384">
        <f t="shared" si="6"/>
        <v>-413351555</v>
      </c>
      <c r="AW12" s="445"/>
      <c r="AX12" s="1150"/>
      <c r="AY12" s="384"/>
      <c r="AZ12" s="453"/>
    </row>
    <row r="13" spans="1:52" s="13" customFormat="1" ht="15.75" thickBot="1" x14ac:dyDescent="0.3">
      <c r="A13" s="352" t="s">
        <v>110</v>
      </c>
      <c r="B13" s="294">
        <f t="shared" ref="B13:C13" si="36">SUM(B11:B12)</f>
        <v>664026977</v>
      </c>
      <c r="C13" s="294">
        <f t="shared" si="36"/>
        <v>686262766</v>
      </c>
      <c r="D13" s="294">
        <f t="shared" ref="D13" si="37">SUM(D11:D12)</f>
        <v>686817565</v>
      </c>
      <c r="E13" s="735">
        <f t="shared" si="2"/>
        <v>554799</v>
      </c>
      <c r="F13" s="447">
        <f t="shared" ref="F13:G13" si="38">SUM(F11:F12)</f>
        <v>122015138</v>
      </c>
      <c r="G13" s="353">
        <f t="shared" si="38"/>
        <v>124273948</v>
      </c>
      <c r="H13" s="353">
        <f t="shared" ref="H13" si="39">SUM(H11:H12)</f>
        <v>124464759</v>
      </c>
      <c r="I13" s="735">
        <f t="shared" si="3"/>
        <v>190811</v>
      </c>
      <c r="J13" s="563">
        <f t="shared" ref="J13" si="40">SUM(J11:J12)</f>
        <v>1338249253</v>
      </c>
      <c r="K13" s="566">
        <f t="shared" ref="K13:L13" si="41">SUM(K11:K12)</f>
        <v>1405460644</v>
      </c>
      <c r="L13" s="566">
        <f t="shared" si="41"/>
        <v>1328334772</v>
      </c>
      <c r="M13" s="275">
        <f t="shared" si="4"/>
        <v>-77125872</v>
      </c>
      <c r="N13" s="1502" t="s">
        <v>110</v>
      </c>
      <c r="O13" s="274">
        <f t="shared" ref="O13:R13" si="42">SUM(O11:O12)</f>
        <v>27600000</v>
      </c>
      <c r="P13" s="446">
        <f t="shared" si="42"/>
        <v>27600000</v>
      </c>
      <c r="Q13" s="446">
        <f t="shared" ref="Q13" si="43">SUM(Q11:Q12)</f>
        <v>30600000</v>
      </c>
      <c r="R13" s="446">
        <f t="shared" si="42"/>
        <v>3000000</v>
      </c>
      <c r="S13" s="274">
        <f>SUM(S11:S12)</f>
        <v>1355809612</v>
      </c>
      <c r="T13" s="294">
        <f>SUM(T11:T12)</f>
        <v>1224401769</v>
      </c>
      <c r="U13" s="294">
        <f>SUM(U11:U12)</f>
        <v>1232130349</v>
      </c>
      <c r="V13" s="1510">
        <f t="shared" si="17"/>
        <v>7728580</v>
      </c>
      <c r="W13" s="171">
        <f t="shared" ref="W13:X13" si="44">SUM(W11:W12)</f>
        <v>8770270986</v>
      </c>
      <c r="X13" s="172">
        <f t="shared" si="44"/>
        <v>10121547236</v>
      </c>
      <c r="Y13" s="172">
        <f t="shared" ref="Y13" si="45">SUM(Y11:Y12)</f>
        <v>9805092832</v>
      </c>
      <c r="Z13" s="735">
        <f t="shared" si="5"/>
        <v>-316454404</v>
      </c>
      <c r="AA13" s="352" t="s">
        <v>110</v>
      </c>
      <c r="AB13" s="173">
        <f>SUM(AB11:AB12)</f>
        <v>107408627</v>
      </c>
      <c r="AC13" s="172">
        <f t="shared" ref="AC13" si="46">SUM(AC11:AC12)</f>
        <v>108425627</v>
      </c>
      <c r="AD13" s="172">
        <f t="shared" ref="AD13" si="47">SUM(AD11:AD12)</f>
        <v>112001247</v>
      </c>
      <c r="AE13" s="172">
        <f t="shared" ref="AE13" si="48">SUM(AE11:AE12)</f>
        <v>3575620</v>
      </c>
      <c r="AF13" s="171">
        <f>SUM(AF11:AF12)</f>
        <v>236380585</v>
      </c>
      <c r="AG13" s="172">
        <f t="shared" ref="AG13" si="49">SUM(AG11:AG12)</f>
        <v>1808313444</v>
      </c>
      <c r="AH13" s="172">
        <f t="shared" ref="AH13" si="50">SUM(AH11:AH12)</f>
        <v>1807660444</v>
      </c>
      <c r="AI13" s="294">
        <f t="shared" ref="AI13" si="51">SUM(AI11:AI12)</f>
        <v>-653000</v>
      </c>
      <c r="AJ13" s="731">
        <f>SUM(AJ11:AJ12)</f>
        <v>127631629</v>
      </c>
      <c r="AK13" s="353">
        <f t="shared" ref="AK13" si="52">SUM(AK11:AK12)</f>
        <v>927631629</v>
      </c>
      <c r="AL13" s="353">
        <f t="shared" ref="AL13" si="53">SUM(AL11:AL12)</f>
        <v>927631629</v>
      </c>
      <c r="AM13" s="732">
        <f t="shared" ref="AM13" si="54">SUM(AM11:AM12)</f>
        <v>0</v>
      </c>
      <c r="AN13" s="352" t="s">
        <v>110</v>
      </c>
      <c r="AO13" s="294">
        <f>SUM(AO11:AO12)</f>
        <v>241005271</v>
      </c>
      <c r="AP13" s="294">
        <f t="shared" ref="AP13" si="55">SUM(AP11:AP12)</f>
        <v>372712729</v>
      </c>
      <c r="AQ13" s="294">
        <f t="shared" ref="AQ13" si="56">SUM(AQ11:AQ12)</f>
        <v>335108445</v>
      </c>
      <c r="AR13" s="294">
        <f t="shared" ref="AR13" si="57">SUM(AR11:AR12)</f>
        <v>-37604284</v>
      </c>
      <c r="AS13" s="171">
        <f>SUM(AS11:AS12)</f>
        <v>12990398078</v>
      </c>
      <c r="AT13" s="294">
        <f>SUM(AT11:AT12)</f>
        <v>16806629792</v>
      </c>
      <c r="AU13" s="294">
        <f>SUM(AU11:AU12)</f>
        <v>16389842042</v>
      </c>
      <c r="AV13" s="275">
        <f t="shared" si="6"/>
        <v>-416787750</v>
      </c>
      <c r="AW13" s="274"/>
      <c r="AX13" s="1511"/>
      <c r="AY13" s="1158"/>
    </row>
    <row r="14" spans="1:52" x14ac:dyDescent="0.2">
      <c r="R14" s="296"/>
      <c r="S14" s="296"/>
      <c r="AV14" s="693">
        <f>'1.sz.tábla   (2)'!E39</f>
        <v>-416787750</v>
      </c>
    </row>
    <row r="15" spans="1:52" x14ac:dyDescent="0.2">
      <c r="R15" s="16"/>
      <c r="S15" s="296"/>
    </row>
  </sheetData>
  <sheetProtection selectLockedCells="1" selectUnlockedCells="1"/>
  <mergeCells count="19">
    <mergeCell ref="AW4:AY4"/>
    <mergeCell ref="AF4:AI4"/>
    <mergeCell ref="AJ4:AM4"/>
    <mergeCell ref="AS4:AV4"/>
    <mergeCell ref="AO4:AR4"/>
    <mergeCell ref="AN4:AN5"/>
    <mergeCell ref="AN2:AY2"/>
    <mergeCell ref="A2:M2"/>
    <mergeCell ref="N2:Z2"/>
    <mergeCell ref="AA2:AM2"/>
    <mergeCell ref="B4:E4"/>
    <mergeCell ref="F4:I4"/>
    <mergeCell ref="J4:M4"/>
    <mergeCell ref="S4:V4"/>
    <mergeCell ref="W4:Z4"/>
    <mergeCell ref="AA4:AA5"/>
    <mergeCell ref="N4:N5"/>
    <mergeCell ref="O4:R4"/>
    <mergeCell ref="AB4:AE4"/>
  </mergeCells>
  <printOptions horizontalCentered="1"/>
  <pageMargins left="0.7" right="0.7" top="0.75" bottom="0.75" header="0.3" footer="0.3"/>
  <pageSetup paperSize="9" scale="67" firstPageNumber="0" orientation="landscape" r:id="rId1"/>
  <headerFooter alignWithMargins="0">
    <oddHeader xml:space="preserve">&amp;C
 4. melléklet 
 az önkormányzat 2020. évi költségvetéséről szóló 6/2019. (III.06.) önkormányzati rendelethez
a 42/2020. (XII.21.) önkormányzati rendelet módosítással egységes szerkezetbe foglalva&amp;R
&amp;P. oldal
</oddHeader>
  </headerFooter>
  <colBreaks count="3" manualBreakCount="3">
    <brk id="13" max="12" man="1"/>
    <brk id="26" max="12" man="1"/>
    <brk id="39" max="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view="pageLayout" zoomScaleNormal="100" zoomScaleSheetLayoutView="100" workbookViewId="0">
      <selection activeCell="C1" sqref="C1"/>
    </sheetView>
  </sheetViews>
  <sheetFormatPr defaultColWidth="9.140625" defaultRowHeight="14.25" x14ac:dyDescent="0.2"/>
  <cols>
    <col min="1" max="1" width="15.42578125" style="750" customWidth="1"/>
    <col min="2" max="2" width="31.42578125" style="1130" customWidth="1"/>
    <col min="3" max="6" width="12.28515625" style="1131" customWidth="1"/>
    <col min="7" max="7" width="9.140625" style="750"/>
    <col min="8" max="8" width="9.7109375" style="750" bestFit="1" customWidth="1"/>
    <col min="9" max="16384" width="9.140625" style="750"/>
  </cols>
  <sheetData>
    <row r="1" spans="1:6" ht="15" x14ac:dyDescent="0.25">
      <c r="A1" s="1101"/>
      <c r="B1" s="1102"/>
      <c r="C1" s="1103"/>
      <c r="D1" s="1103"/>
      <c r="E1" s="1103"/>
      <c r="F1" s="1103"/>
    </row>
    <row r="2" spans="1:6" ht="15.75" thickBot="1" x14ac:dyDescent="0.3">
      <c r="A2" s="1990" t="s">
        <v>985</v>
      </c>
      <c r="B2" s="1990"/>
      <c r="C2" s="1990"/>
      <c r="D2" s="1990"/>
      <c r="E2" s="1990"/>
      <c r="F2" s="1990"/>
    </row>
    <row r="3" spans="1:6" ht="45.75" thickBot="1" x14ac:dyDescent="0.25">
      <c r="A3" s="1104" t="s">
        <v>917</v>
      </c>
      <c r="B3" s="1105" t="s">
        <v>86</v>
      </c>
      <c r="C3" s="556" t="s">
        <v>660</v>
      </c>
      <c r="D3" s="390" t="s">
        <v>1021</v>
      </c>
      <c r="E3" s="390" t="s">
        <v>1111</v>
      </c>
      <c r="F3" s="391" t="s">
        <v>987</v>
      </c>
    </row>
    <row r="4" spans="1:6" s="767" customFormat="1" x14ac:dyDescent="0.2">
      <c r="A4" s="1106"/>
      <c r="B4" s="1107"/>
      <c r="C4" s="1135"/>
      <c r="D4" s="1136"/>
      <c r="E4" s="1136"/>
      <c r="F4" s="1137"/>
    </row>
    <row r="5" spans="1:6" s="767" customFormat="1" ht="15" x14ac:dyDescent="0.25">
      <c r="A5" s="1108" t="s">
        <v>203</v>
      </c>
      <c r="B5" s="1109"/>
      <c r="C5" s="1132">
        <f>SUM(C6:C9)</f>
        <v>17576000</v>
      </c>
      <c r="D5" s="1133">
        <f>SUM(D6:D9)</f>
        <v>18754000</v>
      </c>
      <c r="E5" s="1133">
        <f>SUM(E6:E9)</f>
        <v>18121630</v>
      </c>
      <c r="F5" s="1134">
        <f>E5-D5</f>
        <v>-632370</v>
      </c>
    </row>
    <row r="6" spans="1:6" x14ac:dyDescent="0.2">
      <c r="A6" s="1110"/>
      <c r="B6" s="1107" t="s">
        <v>924</v>
      </c>
      <c r="C6" s="1111">
        <v>2544000</v>
      </c>
      <c r="D6" s="1112">
        <f>2544000+794600</f>
        <v>3338600</v>
      </c>
      <c r="E6" s="1112">
        <f>2544000+794600</f>
        <v>3338600</v>
      </c>
      <c r="F6" s="1113">
        <f>E6-D6</f>
        <v>0</v>
      </c>
    </row>
    <row r="7" spans="1:6" x14ac:dyDescent="0.2">
      <c r="A7" s="1110"/>
      <c r="B7" s="1107" t="s">
        <v>925</v>
      </c>
      <c r="C7" s="1114">
        <v>127000</v>
      </c>
      <c r="D7" s="1112">
        <f>127000+383400</f>
        <v>510400</v>
      </c>
      <c r="E7" s="1112">
        <f>127000+383400</f>
        <v>510400</v>
      </c>
      <c r="F7" s="1113">
        <f t="shared" ref="F7:F27" si="0">E7-D7</f>
        <v>0</v>
      </c>
    </row>
    <row r="8" spans="1:6" x14ac:dyDescent="0.2">
      <c r="A8" s="1110"/>
      <c r="B8" s="1107" t="s">
        <v>918</v>
      </c>
      <c r="C8" s="1138"/>
      <c r="D8" s="1139"/>
      <c r="E8" s="1139"/>
      <c r="F8" s="1113">
        <f t="shared" si="0"/>
        <v>0</v>
      </c>
    </row>
    <row r="9" spans="1:6" x14ac:dyDescent="0.2">
      <c r="A9" s="1110"/>
      <c r="B9" s="1107" t="s">
        <v>919</v>
      </c>
      <c r="C9" s="1111">
        <v>14905000</v>
      </c>
      <c r="D9" s="1112">
        <v>14905000</v>
      </c>
      <c r="E9" s="1112">
        <v>14272630</v>
      </c>
      <c r="F9" s="1113">
        <f t="shared" si="0"/>
        <v>-632370</v>
      </c>
    </row>
    <row r="10" spans="1:6" x14ac:dyDescent="0.2">
      <c r="A10" s="1110"/>
      <c r="B10" s="1107"/>
      <c r="C10" s="1111"/>
      <c r="D10" s="1112"/>
      <c r="E10" s="1112"/>
      <c r="F10" s="1113">
        <f t="shared" si="0"/>
        <v>0</v>
      </c>
    </row>
    <row r="11" spans="1:6" s="767" customFormat="1" ht="15" x14ac:dyDescent="0.25">
      <c r="A11" s="1116" t="s">
        <v>920</v>
      </c>
      <c r="B11" s="1109"/>
      <c r="C11" s="1117">
        <f>SUM(C12:C12)</f>
        <v>300000</v>
      </c>
      <c r="D11" s="1118">
        <v>585281</v>
      </c>
      <c r="E11" s="1118">
        <v>665281</v>
      </c>
      <c r="F11" s="1119">
        <f t="shared" si="0"/>
        <v>80000</v>
      </c>
    </row>
    <row r="12" spans="1:6" s="767" customFormat="1" x14ac:dyDescent="0.2">
      <c r="A12" s="1121"/>
      <c r="B12" s="1120" t="s">
        <v>921</v>
      </c>
      <c r="C12" s="1111">
        <v>300000</v>
      </c>
      <c r="D12" s="1112">
        <v>585281</v>
      </c>
      <c r="E12" s="1112">
        <v>665281</v>
      </c>
      <c r="F12" s="1113">
        <f t="shared" si="0"/>
        <v>80000</v>
      </c>
    </row>
    <row r="13" spans="1:6" x14ac:dyDescent="0.2">
      <c r="A13" s="1121"/>
      <c r="B13" s="1120"/>
      <c r="C13" s="1111"/>
      <c r="D13" s="1112"/>
      <c r="E13" s="1112"/>
      <c r="F13" s="1113">
        <f t="shared" si="0"/>
        <v>0</v>
      </c>
    </row>
    <row r="14" spans="1:6" ht="15" x14ac:dyDescent="0.25">
      <c r="A14" s="1108" t="s">
        <v>492</v>
      </c>
      <c r="B14" s="1122"/>
      <c r="C14" s="1117">
        <f>SUM(C15:C19)</f>
        <v>500000</v>
      </c>
      <c r="D14" s="1118">
        <f>SUM(D15:D19)</f>
        <v>2250470</v>
      </c>
      <c r="E14" s="1118">
        <f>SUM(E15:E19)</f>
        <v>2650470</v>
      </c>
      <c r="F14" s="1118">
        <f>SUM(F15:F19)</f>
        <v>400000</v>
      </c>
    </row>
    <row r="15" spans="1:6" s="767" customFormat="1" ht="15" x14ac:dyDescent="0.25">
      <c r="A15" s="1108"/>
      <c r="B15" s="1140" t="s">
        <v>922</v>
      </c>
      <c r="C15" s="1117"/>
      <c r="D15" s="1112">
        <v>48000</v>
      </c>
      <c r="E15" s="1112">
        <v>48000</v>
      </c>
      <c r="F15" s="1113">
        <f t="shared" si="0"/>
        <v>0</v>
      </c>
    </row>
    <row r="16" spans="1:6" s="767" customFormat="1" ht="15" x14ac:dyDescent="0.25">
      <c r="A16" s="1108"/>
      <c r="B16" s="1416" t="s">
        <v>1017</v>
      </c>
      <c r="C16" s="1117"/>
      <c r="D16" s="1112">
        <v>366400</v>
      </c>
      <c r="E16" s="1112">
        <v>366400</v>
      </c>
      <c r="F16" s="1113">
        <f t="shared" si="0"/>
        <v>0</v>
      </c>
    </row>
    <row r="17" spans="1:6" s="767" customFormat="1" ht="15" x14ac:dyDescent="0.25">
      <c r="A17" s="1108"/>
      <c r="B17" s="1141" t="s">
        <v>926</v>
      </c>
      <c r="C17" s="1117"/>
      <c r="D17" s="1112">
        <v>1400000</v>
      </c>
      <c r="E17" s="1112">
        <v>1300000</v>
      </c>
      <c r="F17" s="1113">
        <f t="shared" si="0"/>
        <v>-100000</v>
      </c>
    </row>
    <row r="18" spans="1:6" s="767" customFormat="1" ht="15" x14ac:dyDescent="0.25">
      <c r="A18" s="1108"/>
      <c r="B18" s="1141" t="s">
        <v>1117</v>
      </c>
      <c r="C18" s="1117"/>
      <c r="D18" s="1112"/>
      <c r="E18" s="1112">
        <v>700000</v>
      </c>
      <c r="F18" s="1113">
        <f t="shared" si="0"/>
        <v>700000</v>
      </c>
    </row>
    <row r="19" spans="1:6" s="767" customFormat="1" x14ac:dyDescent="0.2">
      <c r="A19" s="1108"/>
      <c r="B19" s="1107" t="s">
        <v>921</v>
      </c>
      <c r="C19" s="1111">
        <v>500000</v>
      </c>
      <c r="D19" s="1112">
        <v>436070</v>
      </c>
      <c r="E19" s="1112">
        <v>236070</v>
      </c>
      <c r="F19" s="1113">
        <f t="shared" si="0"/>
        <v>-200000</v>
      </c>
    </row>
    <row r="20" spans="1:6" s="767" customFormat="1" x14ac:dyDescent="0.2">
      <c r="A20" s="1123"/>
      <c r="B20" s="1124"/>
      <c r="C20" s="1111"/>
      <c r="D20" s="1112"/>
      <c r="E20" s="1112"/>
      <c r="F20" s="1113">
        <f t="shared" si="0"/>
        <v>0</v>
      </c>
    </row>
    <row r="21" spans="1:6" ht="15" x14ac:dyDescent="0.25">
      <c r="A21" s="1991" t="s">
        <v>200</v>
      </c>
      <c r="B21" s="1992"/>
      <c r="C21" s="1117">
        <f>SUM(C22:C26)</f>
        <v>12600000</v>
      </c>
      <c r="D21" s="1118">
        <f>SUM(D22:D26)</f>
        <v>21027891</v>
      </c>
      <c r="E21" s="1118">
        <f>SUM(E22:E26)</f>
        <v>21027891</v>
      </c>
      <c r="F21" s="1119">
        <f t="shared" si="0"/>
        <v>0</v>
      </c>
    </row>
    <row r="22" spans="1:6" x14ac:dyDescent="0.2">
      <c r="A22" s="1107"/>
      <c r="B22" s="1107" t="s">
        <v>918</v>
      </c>
      <c r="C22" s="1111">
        <v>5000000</v>
      </c>
      <c r="D22" s="1112">
        <f>'5.tábla (2)'!C38</f>
        <v>11959994</v>
      </c>
      <c r="E22" s="1112">
        <f>'5.tábla (2)'!D38</f>
        <v>11959994</v>
      </c>
      <c r="F22" s="1113">
        <f t="shared" si="0"/>
        <v>0</v>
      </c>
    </row>
    <row r="23" spans="1:6" s="767" customFormat="1" x14ac:dyDescent="0.2">
      <c r="A23" s="1107"/>
      <c r="B23" s="1107" t="s">
        <v>927</v>
      </c>
      <c r="C23" s="1111"/>
      <c r="D23" s="1112"/>
      <c r="E23" s="1112"/>
      <c r="F23" s="1113">
        <f t="shared" si="0"/>
        <v>0</v>
      </c>
    </row>
    <row r="24" spans="1:6" x14ac:dyDescent="0.2">
      <c r="A24" s="1108"/>
      <c r="B24" s="1107" t="s">
        <v>921</v>
      </c>
      <c r="C24" s="1111">
        <v>1000000</v>
      </c>
      <c r="D24" s="1112">
        <f>'5.tábla (2)'!C39</f>
        <v>1747997</v>
      </c>
      <c r="E24" s="1112">
        <f>'5.tábla (2)'!D39</f>
        <v>1747997</v>
      </c>
      <c r="F24" s="1113">
        <f t="shared" si="0"/>
        <v>0</v>
      </c>
    </row>
    <row r="25" spans="1:6" x14ac:dyDescent="0.2">
      <c r="A25" s="1197"/>
      <c r="B25" s="1198" t="s">
        <v>997</v>
      </c>
      <c r="C25" s="1199"/>
      <c r="D25" s="1200">
        <f>'5.tábla (2)'!C40</f>
        <v>719900</v>
      </c>
      <c r="E25" s="1200">
        <f>'5.tábla (2)'!D40</f>
        <v>719900</v>
      </c>
      <c r="F25" s="1113">
        <f t="shared" si="0"/>
        <v>0</v>
      </c>
    </row>
    <row r="26" spans="1:6" x14ac:dyDescent="0.2">
      <c r="A26" s="1197"/>
      <c r="B26" s="1198" t="s">
        <v>972</v>
      </c>
      <c r="C26" s="1199">
        <v>6600000</v>
      </c>
      <c r="D26" s="1200">
        <f>'5.tábla (2)'!C41</f>
        <v>6600000</v>
      </c>
      <c r="E26" s="1200">
        <f>'5.tábla (2)'!D41</f>
        <v>6600000</v>
      </c>
      <c r="F26" s="1113">
        <f t="shared" si="0"/>
        <v>0</v>
      </c>
    </row>
    <row r="27" spans="1:6" ht="15.75" thickBot="1" x14ac:dyDescent="0.3">
      <c r="A27" s="1125" t="s">
        <v>923</v>
      </c>
      <c r="B27" s="1126"/>
      <c r="C27" s="1127">
        <f>SUM(C5+C11+C14+C21)</f>
        <v>30976000</v>
      </c>
      <c r="D27" s="1128">
        <f>SUM(D5+D11+D14+D21)</f>
        <v>42617642</v>
      </c>
      <c r="E27" s="1128">
        <f>SUM(E5+E11+E14+E21)</f>
        <v>42465272</v>
      </c>
      <c r="F27" s="1129">
        <f t="shared" si="0"/>
        <v>-152370</v>
      </c>
    </row>
    <row r="28" spans="1:6" ht="12.75" x14ac:dyDescent="0.2">
      <c r="C28" s="1115"/>
      <c r="D28" s="1115"/>
      <c r="E28" s="1115"/>
      <c r="F28" s="1115"/>
    </row>
    <row r="29" spans="1:6" s="767" customFormat="1" x14ac:dyDescent="0.2">
      <c r="A29" s="750"/>
      <c r="B29" s="1130"/>
      <c r="C29" s="1131"/>
      <c r="D29" s="1131"/>
      <c r="E29" s="1131"/>
      <c r="F29" s="1131"/>
    </row>
  </sheetData>
  <mergeCells count="2">
    <mergeCell ref="A2:F2"/>
    <mergeCell ref="A21:B21"/>
  </mergeCells>
  <phoneticPr fontId="27" type="noConversion"/>
  <pageMargins left="0.7" right="0.7" top="0.75" bottom="0.75" header="0.3" footer="0.3"/>
  <pageSetup paperSize="9" scale="90" orientation="portrait" r:id="rId1"/>
  <headerFooter>
    <oddHeader xml:space="preserve">&amp;C4/a. melléklet 
 az önkormányzat 2020. évi költségvetéséről szóló 6/2019. (III.06.) önkormányzati rendelethez
a 42/2020. (XII.21.) önkormányzati rendelet módosítással egységes szerkezetbe foglalva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3:L147"/>
  <sheetViews>
    <sheetView view="pageLayout" topLeftCell="D1" zoomScaleNormal="100" zoomScaleSheetLayoutView="80" workbookViewId="0">
      <selection activeCell="I10" sqref="I10"/>
    </sheetView>
  </sheetViews>
  <sheetFormatPr defaultColWidth="9.140625" defaultRowHeight="12.75" x14ac:dyDescent="0.2"/>
  <cols>
    <col min="1" max="1" width="58" style="9" customWidth="1"/>
    <col min="2" max="2" width="18.140625" style="191" customWidth="1"/>
    <col min="3" max="5" width="19" style="191" customWidth="1"/>
    <col min="6" max="6" width="11.7109375" style="9" customWidth="1"/>
    <col min="7" max="7" width="12" style="9" bestFit="1" customWidth="1"/>
    <col min="8" max="8" width="16.85546875" style="9" customWidth="1"/>
    <col min="9" max="16384" width="9.140625" style="9"/>
  </cols>
  <sheetData>
    <row r="3" spans="1:7" ht="15.75" x14ac:dyDescent="0.25">
      <c r="A3" s="1993" t="s">
        <v>665</v>
      </c>
      <c r="B3" s="1993"/>
      <c r="C3" s="1993"/>
      <c r="D3" s="1993"/>
      <c r="E3" s="1993"/>
    </row>
    <row r="4" spans="1:7" ht="13.5" thickBot="1" x14ac:dyDescent="0.25"/>
    <row r="5" spans="1:7" ht="51.75" customHeight="1" thickBot="1" x14ac:dyDescent="0.25">
      <c r="A5" s="77" t="s">
        <v>302</v>
      </c>
      <c r="B5" s="556" t="s">
        <v>660</v>
      </c>
      <c r="C5" s="390" t="s">
        <v>1021</v>
      </c>
      <c r="D5" s="390" t="s">
        <v>1111</v>
      </c>
      <c r="E5" s="391" t="s">
        <v>987</v>
      </c>
    </row>
    <row r="6" spans="1:7" s="1" customFormat="1" ht="30.75" customHeight="1" x14ac:dyDescent="0.25">
      <c r="A6" s="549" t="s">
        <v>204</v>
      </c>
      <c r="B6" s="1677"/>
      <c r="C6" s="1677"/>
      <c r="D6" s="1677"/>
      <c r="E6" s="692"/>
    </row>
    <row r="7" spans="1:7" s="1" customFormat="1" ht="19.149999999999999" customHeight="1" x14ac:dyDescent="0.25">
      <c r="A7" s="554" t="s">
        <v>122</v>
      </c>
      <c r="B7" s="553">
        <f>SUM(B8:B9)</f>
        <v>325251408</v>
      </c>
      <c r="C7" s="553">
        <f t="shared" ref="C7:D7" si="0">SUM(C8:C9)</f>
        <v>323835877</v>
      </c>
      <c r="D7" s="553">
        <f t="shared" si="0"/>
        <v>319488147</v>
      </c>
      <c r="E7" s="189">
        <f>D7-C7</f>
        <v>-4347730</v>
      </c>
    </row>
    <row r="8" spans="1:7" s="1" customFormat="1" ht="19.149999999999999" customHeight="1" x14ac:dyDescent="0.25">
      <c r="A8" s="554" t="s">
        <v>693</v>
      </c>
      <c r="B8" s="553">
        <v>37522109</v>
      </c>
      <c r="C8" s="587">
        <v>37522109</v>
      </c>
      <c r="D8" s="587">
        <v>37521790</v>
      </c>
      <c r="E8" s="189">
        <f t="shared" ref="E8:E11" si="1">D8-C8</f>
        <v>-319</v>
      </c>
    </row>
    <row r="9" spans="1:7" s="1" customFormat="1" ht="19.149999999999999" customHeight="1" x14ac:dyDescent="0.25">
      <c r="A9" s="554" t="s">
        <v>692</v>
      </c>
      <c r="B9" s="553">
        <v>287729299</v>
      </c>
      <c r="C9" s="587">
        <v>286313768</v>
      </c>
      <c r="D9" s="587">
        <v>281966357</v>
      </c>
      <c r="E9" s="189">
        <f t="shared" si="1"/>
        <v>-4347411</v>
      </c>
      <c r="G9" s="2"/>
    </row>
    <row r="10" spans="1:7" s="1" customFormat="1" ht="45" x14ac:dyDescent="0.25">
      <c r="A10" s="537" t="s">
        <v>1118</v>
      </c>
      <c r="B10" s="553"/>
      <c r="C10" s="588"/>
      <c r="D10" s="588"/>
      <c r="E10" s="684">
        <f t="shared" si="1"/>
        <v>0</v>
      </c>
    </row>
    <row r="11" spans="1:7" s="1" customFormat="1" ht="45" customHeight="1" x14ac:dyDescent="0.25">
      <c r="A11" s="537" t="s">
        <v>1119</v>
      </c>
      <c r="B11" s="553"/>
      <c r="C11" s="588"/>
      <c r="D11" s="588">
        <v>195943</v>
      </c>
      <c r="E11" s="684">
        <f t="shared" si="1"/>
        <v>195943</v>
      </c>
      <c r="F11" s="2">
        <f>SUM(E11:E15)</f>
        <v>1468002</v>
      </c>
    </row>
    <row r="12" spans="1:7" s="1" customFormat="1" ht="30" x14ac:dyDescent="0.2">
      <c r="A12" s="537" t="s">
        <v>618</v>
      </c>
      <c r="B12" s="548">
        <v>922800</v>
      </c>
      <c r="C12" s="588">
        <f>922800+922800</f>
        <v>1845600</v>
      </c>
      <c r="D12" s="588">
        <v>2693352</v>
      </c>
      <c r="E12" s="684">
        <f>D12-C12</f>
        <v>847752</v>
      </c>
    </row>
    <row r="13" spans="1:7" s="1" customFormat="1" ht="30" x14ac:dyDescent="0.2">
      <c r="A13" s="537" t="s">
        <v>694</v>
      </c>
      <c r="B13" s="548">
        <v>1081125</v>
      </c>
      <c r="C13" s="588">
        <v>1081125</v>
      </c>
      <c r="D13" s="588">
        <v>1112573</v>
      </c>
      <c r="E13" s="684">
        <f t="shared" ref="E13:E18" si="2">D13-C13</f>
        <v>31448</v>
      </c>
    </row>
    <row r="14" spans="1:7" s="1" customFormat="1" ht="45" x14ac:dyDescent="0.2">
      <c r="A14" s="537" t="s">
        <v>695</v>
      </c>
      <c r="B14" s="548">
        <v>5382094</v>
      </c>
      <c r="C14" s="588">
        <v>5382094</v>
      </c>
      <c r="D14" s="588">
        <v>5532770</v>
      </c>
      <c r="E14" s="684">
        <f t="shared" si="2"/>
        <v>150676</v>
      </c>
    </row>
    <row r="15" spans="1:7" s="1" customFormat="1" ht="30" x14ac:dyDescent="0.2">
      <c r="A15" s="537" t="s">
        <v>696</v>
      </c>
      <c r="B15" s="548">
        <v>255061</v>
      </c>
      <c r="C15" s="588">
        <v>255061</v>
      </c>
      <c r="D15" s="588">
        <v>497244</v>
      </c>
      <c r="E15" s="684">
        <f t="shared" si="2"/>
        <v>242183</v>
      </c>
    </row>
    <row r="16" spans="1:7" s="1" customFormat="1" ht="19.149999999999999" customHeight="1" x14ac:dyDescent="0.25">
      <c r="A16" s="554" t="s">
        <v>123</v>
      </c>
      <c r="B16" s="553">
        <f>SUM(B17:B18)</f>
        <v>63721683</v>
      </c>
      <c r="C16" s="587">
        <f>SUM(C17:C18)</f>
        <v>63859625</v>
      </c>
      <c r="D16" s="587">
        <f>SUM(D17:D18)</f>
        <v>62798566</v>
      </c>
      <c r="E16" s="189">
        <f t="shared" si="2"/>
        <v>-1061059</v>
      </c>
    </row>
    <row r="17" spans="1:6" s="1" customFormat="1" ht="19.149999999999999" customHeight="1" x14ac:dyDescent="0.25">
      <c r="A17" s="554" t="s">
        <v>693</v>
      </c>
      <c r="B17" s="553">
        <v>7369380</v>
      </c>
      <c r="C17" s="587">
        <v>7369380</v>
      </c>
      <c r="D17" s="587">
        <v>7303776</v>
      </c>
      <c r="E17" s="189">
        <f t="shared" si="2"/>
        <v>-65604</v>
      </c>
    </row>
    <row r="18" spans="1:6" s="1" customFormat="1" ht="19.149999999999999" customHeight="1" x14ac:dyDescent="0.25">
      <c r="A18" s="554" t="s">
        <v>692</v>
      </c>
      <c r="B18" s="553">
        <v>56352303</v>
      </c>
      <c r="C18" s="587">
        <v>56490245</v>
      </c>
      <c r="D18" s="587">
        <v>55494790</v>
      </c>
      <c r="E18" s="189">
        <f t="shared" si="2"/>
        <v>-995455</v>
      </c>
    </row>
    <row r="19" spans="1:6" s="1" customFormat="1" ht="45" x14ac:dyDescent="0.25">
      <c r="A19" s="537" t="s">
        <v>1118</v>
      </c>
      <c r="B19" s="553"/>
      <c r="C19" s="588"/>
      <c r="D19" s="588"/>
      <c r="E19" s="684"/>
    </row>
    <row r="20" spans="1:6" s="1" customFormat="1" ht="45" x14ac:dyDescent="0.25">
      <c r="A20" s="537" t="s">
        <v>1119</v>
      </c>
      <c r="B20" s="553"/>
      <c r="C20" s="588"/>
      <c r="D20" s="588">
        <v>34290</v>
      </c>
      <c r="E20" s="684">
        <f t="shared" ref="E20:E42" si="3">D20-C20</f>
        <v>34290</v>
      </c>
      <c r="F20" s="2">
        <f>SUM(E20:E24)</f>
        <v>33274</v>
      </c>
    </row>
    <row r="21" spans="1:6" s="1" customFormat="1" ht="30" x14ac:dyDescent="0.2">
      <c r="A21" s="537" t="s">
        <v>618</v>
      </c>
      <c r="B21" s="548">
        <v>161490</v>
      </c>
      <c r="C21" s="588">
        <f>161490+146110</f>
        <v>307600</v>
      </c>
      <c r="D21" s="588">
        <v>447788</v>
      </c>
      <c r="E21" s="684">
        <f t="shared" si="3"/>
        <v>140188</v>
      </c>
    </row>
    <row r="22" spans="1:6" s="1" customFormat="1" ht="30" x14ac:dyDescent="0.2">
      <c r="A22" s="537" t="s">
        <v>694</v>
      </c>
      <c r="B22" s="548">
        <v>329156</v>
      </c>
      <c r="C22" s="588">
        <v>329156</v>
      </c>
      <c r="D22" s="588">
        <v>297708</v>
      </c>
      <c r="E22" s="684">
        <f t="shared" si="3"/>
        <v>-31448</v>
      </c>
    </row>
    <row r="23" spans="1:6" s="1" customFormat="1" ht="45" x14ac:dyDescent="0.2">
      <c r="A23" s="537" t="s">
        <v>695</v>
      </c>
      <c r="B23" s="548">
        <v>1499176</v>
      </c>
      <c r="C23" s="588">
        <v>1499176</v>
      </c>
      <c r="D23" s="588">
        <v>1348500</v>
      </c>
      <c r="E23" s="684">
        <f t="shared" si="3"/>
        <v>-150676</v>
      </c>
    </row>
    <row r="24" spans="1:6" s="1" customFormat="1" ht="30" x14ac:dyDescent="0.2">
      <c r="A24" s="537" t="s">
        <v>696</v>
      </c>
      <c r="B24" s="548">
        <v>44636</v>
      </c>
      <c r="C24" s="588">
        <v>44636</v>
      </c>
      <c r="D24" s="588">
        <v>85556</v>
      </c>
      <c r="E24" s="684">
        <f t="shared" si="3"/>
        <v>40920</v>
      </c>
    </row>
    <row r="25" spans="1:6" s="1" customFormat="1" ht="19.149999999999999" customHeight="1" x14ac:dyDescent="0.25">
      <c r="A25" s="554" t="s">
        <v>124</v>
      </c>
      <c r="B25" s="80">
        <f>SUM(B26:B30)</f>
        <v>81030943</v>
      </c>
      <c r="C25" s="80">
        <f>SUM(C26:C30)</f>
        <v>85468681</v>
      </c>
      <c r="D25" s="80">
        <f>SUM(D26:D30)</f>
        <v>85267988</v>
      </c>
      <c r="E25" s="189">
        <f t="shared" si="3"/>
        <v>-200693</v>
      </c>
    </row>
    <row r="26" spans="1:6" ht="19.149999999999999" customHeight="1" x14ac:dyDescent="0.2">
      <c r="A26" s="555" t="s">
        <v>697</v>
      </c>
      <c r="B26" s="548">
        <v>64371250</v>
      </c>
      <c r="C26" s="81">
        <v>68808988</v>
      </c>
      <c r="D26" s="81">
        <f>68808988+1000000</f>
        <v>69808988</v>
      </c>
      <c r="E26" s="684">
        <f t="shared" si="3"/>
        <v>1000000</v>
      </c>
    </row>
    <row r="27" spans="1:6" ht="19.149999999999999" customHeight="1" x14ac:dyDescent="0.2">
      <c r="A27" s="555" t="s">
        <v>125</v>
      </c>
      <c r="B27" s="548">
        <v>1400000</v>
      </c>
      <c r="C27" s="81">
        <v>1400000</v>
      </c>
      <c r="D27" s="81">
        <v>1400000</v>
      </c>
      <c r="E27" s="684">
        <f t="shared" si="3"/>
        <v>0</v>
      </c>
    </row>
    <row r="28" spans="1:6" ht="19.149999999999999" customHeight="1" x14ac:dyDescent="0.2">
      <c r="A28" s="537" t="s">
        <v>67</v>
      </c>
      <c r="B28" s="548">
        <v>403000</v>
      </c>
      <c r="C28" s="81">
        <v>403000</v>
      </c>
      <c r="D28" s="81">
        <v>403000</v>
      </c>
      <c r="E28" s="684">
        <f t="shared" si="3"/>
        <v>0</v>
      </c>
    </row>
    <row r="29" spans="1:6" ht="19.149999999999999" customHeight="1" x14ac:dyDescent="0.2">
      <c r="A29" s="537" t="s">
        <v>68</v>
      </c>
      <c r="B29" s="548">
        <v>10000000</v>
      </c>
      <c r="C29" s="81">
        <v>10000000</v>
      </c>
      <c r="D29" s="81">
        <f>10000000-1000000</f>
        <v>9000000</v>
      </c>
      <c r="E29" s="684">
        <f t="shared" si="3"/>
        <v>-1000000</v>
      </c>
    </row>
    <row r="30" spans="1:6" ht="19.149999999999999" customHeight="1" x14ac:dyDescent="0.2">
      <c r="A30" s="537" t="s">
        <v>69</v>
      </c>
      <c r="B30" s="548">
        <v>4856693</v>
      </c>
      <c r="C30" s="81">
        <v>4856693</v>
      </c>
      <c r="D30" s="81">
        <v>4656000</v>
      </c>
      <c r="E30" s="684">
        <f t="shared" si="3"/>
        <v>-200693</v>
      </c>
    </row>
    <row r="31" spans="1:6" s="1" customFormat="1" ht="15.75" x14ac:dyDescent="0.25">
      <c r="A31" s="554" t="s">
        <v>126</v>
      </c>
      <c r="B31" s="80">
        <f>B32</f>
        <v>0</v>
      </c>
      <c r="C31" s="80">
        <f>C32</f>
        <v>0</v>
      </c>
      <c r="D31" s="80">
        <f>D32</f>
        <v>0</v>
      </c>
      <c r="E31" s="189">
        <f t="shared" si="3"/>
        <v>0</v>
      </c>
    </row>
    <row r="32" spans="1:6" ht="29.25" customHeight="1" x14ac:dyDescent="0.2">
      <c r="A32" s="537" t="s">
        <v>127</v>
      </c>
      <c r="B32" s="548">
        <v>0</v>
      </c>
      <c r="C32" s="588">
        <v>0</v>
      </c>
      <c r="D32" s="588">
        <v>0</v>
      </c>
      <c r="E32" s="684">
        <f t="shared" si="3"/>
        <v>0</v>
      </c>
    </row>
    <row r="33" spans="1:11" s="1" customFormat="1" ht="15.75" x14ac:dyDescent="0.25">
      <c r="A33" s="554" t="s">
        <v>128</v>
      </c>
      <c r="B33" s="80">
        <f>SUM(B34:B34)</f>
        <v>0</v>
      </c>
      <c r="C33" s="80">
        <f>SUM(C34:C34)</f>
        <v>0</v>
      </c>
      <c r="D33" s="80">
        <f>SUM(D34:D34)</f>
        <v>0</v>
      </c>
      <c r="E33" s="189">
        <f t="shared" si="3"/>
        <v>0</v>
      </c>
      <c r="F33" s="2"/>
      <c r="H33" s="43"/>
      <c r="I33" s="44"/>
      <c r="J33" s="44"/>
      <c r="K33" s="44"/>
    </row>
    <row r="34" spans="1:11" s="1" customFormat="1" ht="15.75" x14ac:dyDescent="0.25">
      <c r="A34" s="537" t="s">
        <v>127</v>
      </c>
      <c r="B34" s="548">
        <v>0</v>
      </c>
      <c r="C34" s="588">
        <v>0</v>
      </c>
      <c r="D34" s="588">
        <v>0</v>
      </c>
      <c r="E34" s="684">
        <f t="shared" si="3"/>
        <v>0</v>
      </c>
      <c r="H34" s="43"/>
      <c r="I34" s="44"/>
      <c r="J34" s="44"/>
      <c r="K34" s="44"/>
    </row>
    <row r="35" spans="1:11" s="1" customFormat="1" ht="15.75" x14ac:dyDescent="0.25">
      <c r="A35" s="554" t="s">
        <v>462</v>
      </c>
      <c r="B35" s="80">
        <v>0</v>
      </c>
      <c r="C35" s="587">
        <v>2884470</v>
      </c>
      <c r="D35" s="587">
        <v>2884470</v>
      </c>
      <c r="E35" s="189">
        <f t="shared" si="3"/>
        <v>0</v>
      </c>
      <c r="H35" s="43"/>
      <c r="I35" s="44"/>
      <c r="J35" s="44"/>
      <c r="K35" s="44"/>
    </row>
    <row r="36" spans="1:11" s="1" customFormat="1" ht="15.75" x14ac:dyDescent="0.25">
      <c r="A36" s="554" t="s">
        <v>370</v>
      </c>
      <c r="B36" s="80">
        <f>B35+B33+B31+B25+B16+B7</f>
        <v>470004034</v>
      </c>
      <c r="C36" s="80">
        <f>C35+C33+C31+C25+C16+C7</f>
        <v>476048653</v>
      </c>
      <c r="D36" s="80">
        <f>D35+D33+D31+D25+D16+D7</f>
        <v>470439171</v>
      </c>
      <c r="E36" s="189">
        <f t="shared" si="3"/>
        <v>-5609482</v>
      </c>
      <c r="H36" s="43"/>
      <c r="I36" s="44"/>
      <c r="J36" s="44"/>
      <c r="K36" s="44"/>
    </row>
    <row r="37" spans="1:11" s="1" customFormat="1" ht="19.149999999999999" customHeight="1" x14ac:dyDescent="0.25">
      <c r="A37" s="554" t="s">
        <v>130</v>
      </c>
      <c r="B37" s="80">
        <f>SUM(B38:B41)</f>
        <v>12600000</v>
      </c>
      <c r="C37" s="80">
        <f>SUM(C38:C41)</f>
        <v>21027891</v>
      </c>
      <c r="D37" s="80">
        <f>SUM(D38:D41)</f>
        <v>21027891</v>
      </c>
      <c r="E37" s="189">
        <f t="shared" si="3"/>
        <v>0</v>
      </c>
      <c r="F37" s="2"/>
      <c r="H37" s="45"/>
      <c r="I37" s="46"/>
      <c r="J37" s="46"/>
      <c r="K37" s="46"/>
    </row>
    <row r="38" spans="1:11" ht="15.75" x14ac:dyDescent="0.25">
      <c r="A38" s="537" t="s">
        <v>226</v>
      </c>
      <c r="B38" s="548">
        <v>5000000</v>
      </c>
      <c r="C38" s="81">
        <v>11959994</v>
      </c>
      <c r="D38" s="81">
        <v>11959994</v>
      </c>
      <c r="E38" s="684">
        <f t="shared" si="3"/>
        <v>0</v>
      </c>
      <c r="H38" s="45"/>
      <c r="I38" s="46"/>
      <c r="J38" s="46"/>
      <c r="K38" s="46"/>
    </row>
    <row r="39" spans="1:11" ht="19.149999999999999" customHeight="1" x14ac:dyDescent="0.25">
      <c r="A39" s="537" t="s">
        <v>554</v>
      </c>
      <c r="B39" s="548">
        <v>1000000</v>
      </c>
      <c r="C39" s="81">
        <v>1747997</v>
      </c>
      <c r="D39" s="81">
        <v>1747997</v>
      </c>
      <c r="E39" s="684">
        <f t="shared" si="3"/>
        <v>0</v>
      </c>
      <c r="H39" s="45"/>
      <c r="I39" s="46"/>
      <c r="J39" s="46"/>
      <c r="K39" s="46"/>
    </row>
    <row r="40" spans="1:11" ht="19.149999999999999" customHeight="1" x14ac:dyDescent="0.25">
      <c r="A40" s="537" t="s">
        <v>995</v>
      </c>
      <c r="B40" s="548">
        <v>0</v>
      </c>
      <c r="C40" s="588">
        <v>719900</v>
      </c>
      <c r="D40" s="588">
        <v>719900</v>
      </c>
      <c r="E40" s="684">
        <f t="shared" si="3"/>
        <v>0</v>
      </c>
      <c r="H40" s="45"/>
      <c r="I40" s="46"/>
      <c r="J40" s="46"/>
      <c r="K40" s="46"/>
    </row>
    <row r="41" spans="1:11" ht="19.149999999999999" customHeight="1" x14ac:dyDescent="0.25">
      <c r="A41" s="1195" t="s">
        <v>972</v>
      </c>
      <c r="B41" s="1196">
        <v>6600000</v>
      </c>
      <c r="C41" s="1388">
        <v>6600000</v>
      </c>
      <c r="D41" s="1388">
        <v>6600000</v>
      </c>
      <c r="E41" s="684">
        <f t="shared" si="3"/>
        <v>0</v>
      </c>
      <c r="H41" s="45"/>
      <c r="I41" s="46"/>
      <c r="J41" s="46"/>
      <c r="K41" s="46"/>
    </row>
    <row r="42" spans="1:11" s="1" customFormat="1" ht="30.2" customHeight="1" thickBot="1" x14ac:dyDescent="0.3">
      <c r="A42" s="541" t="s">
        <v>555</v>
      </c>
      <c r="B42" s="542">
        <f>B37+B36</f>
        <v>482604034</v>
      </c>
      <c r="C42" s="542">
        <f>C37+C36</f>
        <v>497076544</v>
      </c>
      <c r="D42" s="542">
        <f>D37+D36</f>
        <v>491467062</v>
      </c>
      <c r="E42" s="686">
        <f t="shared" si="3"/>
        <v>-5609482</v>
      </c>
      <c r="F42" s="2"/>
      <c r="H42" s="45"/>
      <c r="I42" s="46"/>
      <c r="J42" s="46"/>
      <c r="K42" s="46"/>
    </row>
    <row r="43" spans="1:11" s="1" customFormat="1" ht="30.2" customHeight="1" thickBot="1" x14ac:dyDescent="0.3">
      <c r="A43" s="43"/>
      <c r="B43" s="247"/>
      <c r="C43" s="46"/>
      <c r="D43" s="46"/>
      <c r="E43" s="46"/>
      <c r="F43" s="2"/>
      <c r="H43" s="45"/>
      <c r="I43" s="46"/>
      <c r="J43" s="46"/>
      <c r="K43" s="46"/>
    </row>
    <row r="44" spans="1:11" ht="58.7" customHeight="1" thickBot="1" x14ac:dyDescent="0.25">
      <c r="A44" s="77" t="s">
        <v>302</v>
      </c>
      <c r="B44" s="556" t="s">
        <v>660</v>
      </c>
      <c r="C44" s="390" t="s">
        <v>1021</v>
      </c>
      <c r="D44" s="390" t="s">
        <v>1111</v>
      </c>
      <c r="E44" s="391" t="s">
        <v>987</v>
      </c>
      <c r="H44" s="47"/>
      <c r="I44" s="47"/>
      <c r="J44" s="47"/>
      <c r="K44" s="48"/>
    </row>
    <row r="45" spans="1:11" s="1" customFormat="1" ht="39.75" customHeight="1" x14ac:dyDescent="0.25">
      <c r="A45" s="549" t="s">
        <v>556</v>
      </c>
      <c r="B45" s="550"/>
      <c r="C45" s="589"/>
      <c r="D45" s="589"/>
      <c r="E45" s="687"/>
      <c r="H45" s="45"/>
      <c r="I45" s="46"/>
      <c r="J45" s="46"/>
      <c r="K45" s="46"/>
    </row>
    <row r="46" spans="1:11" s="1" customFormat="1" ht="19.149999999999999" customHeight="1" x14ac:dyDescent="0.25">
      <c r="A46" s="551" t="s">
        <v>131</v>
      </c>
      <c r="B46" s="80">
        <f>SUM(B47:B58)</f>
        <v>115713271</v>
      </c>
      <c r="C46" s="80">
        <f>SUM(C47:C59)</f>
        <v>122457191</v>
      </c>
      <c r="D46" s="80">
        <f>SUM(D47:D60)</f>
        <v>125848387</v>
      </c>
      <c r="E46" s="189">
        <f>SUM(E47:E59)</f>
        <v>3238815</v>
      </c>
      <c r="F46" s="2"/>
      <c r="G46" s="2"/>
      <c r="H46" s="45"/>
      <c r="I46" s="46"/>
      <c r="J46" s="46"/>
      <c r="K46" s="46"/>
    </row>
    <row r="47" spans="1:11" ht="19.149999999999999" customHeight="1" x14ac:dyDescent="0.2">
      <c r="A47" s="545" t="s">
        <v>132</v>
      </c>
      <c r="B47" s="590">
        <v>29727461</v>
      </c>
      <c r="C47" s="548">
        <v>29245841</v>
      </c>
      <c r="D47" s="548">
        <v>29245841</v>
      </c>
      <c r="E47" s="552">
        <f>D47-C47</f>
        <v>0</v>
      </c>
      <c r="H47" s="49"/>
      <c r="I47" s="48"/>
      <c r="J47" s="48"/>
      <c r="K47" s="48"/>
    </row>
    <row r="48" spans="1:11" ht="19.149999999999999" customHeight="1" x14ac:dyDescent="0.2">
      <c r="A48" s="545" t="s">
        <v>609</v>
      </c>
      <c r="B48" s="590">
        <v>15001920</v>
      </c>
      <c r="C48" s="548">
        <v>15001920</v>
      </c>
      <c r="D48" s="548">
        <v>15001920</v>
      </c>
      <c r="E48" s="552">
        <f t="shared" ref="E48:E73" si="4">D48-C48</f>
        <v>0</v>
      </c>
      <c r="H48" s="49"/>
      <c r="I48" s="48"/>
      <c r="J48" s="48"/>
      <c r="K48" s="48"/>
    </row>
    <row r="49" spans="1:11" ht="19.149999999999999" customHeight="1" x14ac:dyDescent="0.2">
      <c r="A49" s="545" t="s">
        <v>464</v>
      </c>
      <c r="B49" s="590">
        <v>14271456</v>
      </c>
      <c r="C49" s="548">
        <v>14271456</v>
      </c>
      <c r="D49" s="548">
        <v>14271456</v>
      </c>
      <c r="E49" s="552">
        <f t="shared" si="4"/>
        <v>0</v>
      </c>
      <c r="H49" s="49"/>
      <c r="I49" s="48"/>
      <c r="J49" s="48"/>
      <c r="K49" s="48"/>
    </row>
    <row r="50" spans="1:11" ht="19.149999999999999" customHeight="1" x14ac:dyDescent="0.2">
      <c r="A50" s="545" t="s">
        <v>134</v>
      </c>
      <c r="B50" s="590">
        <v>4429000</v>
      </c>
      <c r="C50" s="548">
        <v>4429000</v>
      </c>
      <c r="D50" s="548">
        <v>4429000</v>
      </c>
      <c r="E50" s="552">
        <f t="shared" si="4"/>
        <v>0</v>
      </c>
      <c r="H50" s="49"/>
      <c r="I50" s="48"/>
      <c r="J50" s="48"/>
      <c r="K50" s="48"/>
    </row>
    <row r="51" spans="1:11" ht="19.149999999999999" customHeight="1" x14ac:dyDescent="0.2">
      <c r="A51" s="545" t="s">
        <v>133</v>
      </c>
      <c r="B51" s="588">
        <v>1460000</v>
      </c>
      <c r="C51" s="81">
        <v>1360000</v>
      </c>
      <c r="D51" s="81">
        <v>1360000</v>
      </c>
      <c r="E51" s="552">
        <f t="shared" si="4"/>
        <v>0</v>
      </c>
      <c r="H51" s="49"/>
      <c r="I51" s="48"/>
      <c r="J51" s="48"/>
      <c r="K51" s="48"/>
    </row>
    <row r="52" spans="1:11" ht="19.149999999999999" customHeight="1" x14ac:dyDescent="0.2">
      <c r="A52" s="545" t="s">
        <v>135</v>
      </c>
      <c r="B52" s="590">
        <v>5800000</v>
      </c>
      <c r="C52" s="548">
        <v>5800000</v>
      </c>
      <c r="D52" s="548">
        <v>5800000</v>
      </c>
      <c r="E52" s="552">
        <f t="shared" si="4"/>
        <v>0</v>
      </c>
      <c r="H52" s="49"/>
      <c r="I52" s="48"/>
      <c r="J52" s="48"/>
      <c r="K52" s="48"/>
    </row>
    <row r="53" spans="1:11" ht="22.7" customHeight="1" x14ac:dyDescent="0.2">
      <c r="A53" s="545" t="s">
        <v>330</v>
      </c>
      <c r="B53" s="588">
        <v>3300000</v>
      </c>
      <c r="C53" s="81">
        <v>4100000</v>
      </c>
      <c r="D53" s="81">
        <v>6732138</v>
      </c>
      <c r="E53" s="552">
        <f t="shared" si="4"/>
        <v>2632138</v>
      </c>
      <c r="H53" s="49"/>
      <c r="I53" s="48"/>
      <c r="J53" s="48"/>
      <c r="K53" s="48"/>
    </row>
    <row r="54" spans="1:11" ht="30" x14ac:dyDescent="0.2">
      <c r="A54" s="546" t="s">
        <v>617</v>
      </c>
      <c r="B54" s="590">
        <v>3076963</v>
      </c>
      <c r="C54" s="548">
        <v>3076963</v>
      </c>
      <c r="D54" s="548">
        <v>3683640</v>
      </c>
      <c r="E54" s="552">
        <f t="shared" si="4"/>
        <v>606677</v>
      </c>
      <c r="H54" s="49"/>
      <c r="I54" s="48"/>
      <c r="J54" s="48"/>
      <c r="K54" s="48"/>
    </row>
    <row r="55" spans="1:11" ht="30" x14ac:dyDescent="0.2">
      <c r="A55" s="535" t="s">
        <v>5</v>
      </c>
      <c r="B55" s="590">
        <v>36449743</v>
      </c>
      <c r="C55" s="548">
        <v>36449743</v>
      </c>
      <c r="D55" s="548">
        <v>36449743</v>
      </c>
      <c r="E55" s="552">
        <f t="shared" si="4"/>
        <v>0</v>
      </c>
      <c r="G55" s="40"/>
      <c r="H55" s="49"/>
      <c r="I55" s="48"/>
      <c r="J55" s="48"/>
      <c r="K55" s="48"/>
    </row>
    <row r="56" spans="1:11" ht="30" x14ac:dyDescent="0.2">
      <c r="A56" s="535" t="s">
        <v>7</v>
      </c>
      <c r="B56" s="590">
        <v>762000</v>
      </c>
      <c r="C56" s="548">
        <v>762000</v>
      </c>
      <c r="D56" s="548">
        <v>762000</v>
      </c>
      <c r="E56" s="552">
        <f t="shared" si="4"/>
        <v>0</v>
      </c>
      <c r="H56" s="49"/>
      <c r="I56" s="48"/>
      <c r="J56" s="48"/>
      <c r="K56" s="48"/>
    </row>
    <row r="57" spans="1:11" ht="30" x14ac:dyDescent="0.2">
      <c r="A57" s="311" t="s">
        <v>610</v>
      </c>
      <c r="B57" s="588">
        <v>1434728</v>
      </c>
      <c r="C57" s="81">
        <v>1434728</v>
      </c>
      <c r="D57" s="81">
        <v>1434728</v>
      </c>
      <c r="E57" s="552">
        <f t="shared" si="4"/>
        <v>0</v>
      </c>
      <c r="H57" s="49"/>
      <c r="I57" s="48"/>
      <c r="J57" s="48"/>
      <c r="K57" s="48"/>
    </row>
    <row r="58" spans="1:11" ht="60" x14ac:dyDescent="0.2">
      <c r="A58" s="1400" t="s">
        <v>998</v>
      </c>
      <c r="B58" s="588"/>
      <c r="C58" s="81">
        <v>425540</v>
      </c>
      <c r="D58" s="81">
        <v>425540</v>
      </c>
      <c r="E58" s="552">
        <f t="shared" si="4"/>
        <v>0</v>
      </c>
      <c r="H58" s="49"/>
      <c r="I58" s="48"/>
      <c r="J58" s="48"/>
      <c r="K58" s="48"/>
    </row>
    <row r="59" spans="1:11" ht="30" x14ac:dyDescent="0.2">
      <c r="A59" s="1400" t="s">
        <v>6</v>
      </c>
      <c r="B59" s="588"/>
      <c r="C59" s="81">
        <v>6100000</v>
      </c>
      <c r="D59" s="81">
        <v>6100000</v>
      </c>
      <c r="E59" s="552">
        <f t="shared" si="4"/>
        <v>0</v>
      </c>
      <c r="H59" s="49"/>
      <c r="I59" s="48"/>
      <c r="J59" s="48"/>
      <c r="K59" s="48"/>
    </row>
    <row r="60" spans="1:11" ht="30" x14ac:dyDescent="0.2">
      <c r="A60" s="1400" t="s">
        <v>1149</v>
      </c>
      <c r="B60" s="588"/>
      <c r="C60" s="81"/>
      <c r="D60" s="81">
        <v>152381</v>
      </c>
      <c r="E60" s="552">
        <f t="shared" si="4"/>
        <v>152381</v>
      </c>
      <c r="H60" s="49"/>
      <c r="I60" s="48"/>
      <c r="J60" s="48"/>
      <c r="K60" s="48"/>
    </row>
    <row r="61" spans="1:11" s="4" customFormat="1" ht="31.5" x14ac:dyDescent="0.25">
      <c r="A61" s="551" t="s">
        <v>136</v>
      </c>
      <c r="B61" s="80">
        <f>SUM(B62:B70)</f>
        <v>18849518</v>
      </c>
      <c r="C61" s="80">
        <f>SUM(C62:C72)</f>
        <v>19701451</v>
      </c>
      <c r="D61" s="80">
        <f>SUM(D62:D73)</f>
        <v>21158997</v>
      </c>
      <c r="E61" s="1512">
        <f t="shared" si="4"/>
        <v>1457546</v>
      </c>
      <c r="F61" s="3"/>
      <c r="H61" s="45"/>
      <c r="I61" s="46"/>
      <c r="J61" s="46"/>
      <c r="K61" s="46"/>
    </row>
    <row r="62" spans="1:11" ht="19.149999999999999" customHeight="1" x14ac:dyDescent="0.2">
      <c r="A62" s="545" t="s">
        <v>132</v>
      </c>
      <c r="B62" s="590">
        <v>5224946</v>
      </c>
      <c r="C62" s="548">
        <v>5140663</v>
      </c>
      <c r="D62" s="548">
        <v>5140663</v>
      </c>
      <c r="E62" s="552">
        <f t="shared" si="4"/>
        <v>0</v>
      </c>
      <c r="H62" s="49"/>
      <c r="I62" s="48"/>
      <c r="J62" s="48"/>
      <c r="K62" s="48"/>
    </row>
    <row r="63" spans="1:11" ht="19.149999999999999" customHeight="1" x14ac:dyDescent="0.2">
      <c r="A63" s="545" t="s">
        <v>464</v>
      </c>
      <c r="B63" s="590">
        <v>1248773</v>
      </c>
      <c r="C63" s="548">
        <v>1248773</v>
      </c>
      <c r="D63" s="548">
        <v>1248773</v>
      </c>
      <c r="E63" s="552">
        <f t="shared" si="4"/>
        <v>0</v>
      </c>
      <c r="H63" s="49"/>
      <c r="I63" s="48"/>
      <c r="J63" s="48"/>
      <c r="K63" s="48"/>
    </row>
    <row r="64" spans="1:11" ht="19.149999999999999" customHeight="1" x14ac:dyDescent="0.2">
      <c r="A64" s="545" t="s">
        <v>319</v>
      </c>
      <c r="B64" s="588">
        <v>697568</v>
      </c>
      <c r="C64" s="81">
        <v>697568</v>
      </c>
      <c r="D64" s="81">
        <v>697568</v>
      </c>
      <c r="E64" s="552">
        <f t="shared" si="4"/>
        <v>0</v>
      </c>
      <c r="H64" s="49"/>
      <c r="I64" s="48"/>
      <c r="J64" s="48"/>
      <c r="K64" s="48"/>
    </row>
    <row r="65" spans="1:12" ht="19.149999999999999" customHeight="1" x14ac:dyDescent="0.2">
      <c r="A65" s="545" t="s">
        <v>133</v>
      </c>
      <c r="B65" s="588">
        <v>255500</v>
      </c>
      <c r="C65" s="81">
        <v>255500</v>
      </c>
      <c r="D65" s="81">
        <v>255500</v>
      </c>
      <c r="E65" s="552">
        <f t="shared" si="4"/>
        <v>0</v>
      </c>
      <c r="H65" s="49"/>
      <c r="I65" s="48"/>
      <c r="J65" s="48"/>
      <c r="K65" s="48"/>
    </row>
    <row r="66" spans="1:12" ht="28.5" customHeight="1" x14ac:dyDescent="0.2">
      <c r="A66" s="545" t="s">
        <v>331</v>
      </c>
      <c r="B66" s="588">
        <v>1112150</v>
      </c>
      <c r="C66" s="81">
        <v>1112150</v>
      </c>
      <c r="D66" s="81">
        <v>2546077</v>
      </c>
      <c r="E66" s="552">
        <f t="shared" si="4"/>
        <v>1433927</v>
      </c>
      <c r="H66" s="49"/>
      <c r="I66" s="48"/>
      <c r="J66" s="48"/>
      <c r="K66" s="48"/>
    </row>
    <row r="67" spans="1:12" ht="30" x14ac:dyDescent="0.2">
      <c r="A67" s="546" t="s">
        <v>617</v>
      </c>
      <c r="B67" s="590">
        <v>860027</v>
      </c>
      <c r="C67" s="548">
        <v>860027</v>
      </c>
      <c r="D67" s="548">
        <v>860027</v>
      </c>
      <c r="E67" s="552">
        <f t="shared" si="4"/>
        <v>0</v>
      </c>
      <c r="G67" s="40"/>
      <c r="H67" s="49"/>
      <c r="I67" s="48"/>
      <c r="J67" s="48"/>
      <c r="K67" s="48"/>
    </row>
    <row r="68" spans="1:12" ht="30" x14ac:dyDescent="0.2">
      <c r="A68" s="535" t="s">
        <v>5</v>
      </c>
      <c r="B68" s="590">
        <v>9050766</v>
      </c>
      <c r="C68" s="548">
        <v>9050766</v>
      </c>
      <c r="D68" s="548">
        <v>9050766</v>
      </c>
      <c r="E68" s="552">
        <f t="shared" si="4"/>
        <v>0</v>
      </c>
      <c r="H68" s="49"/>
      <c r="I68" s="48"/>
      <c r="J68" s="48"/>
      <c r="K68" s="48"/>
    </row>
    <row r="69" spans="1:12" ht="30" x14ac:dyDescent="0.2">
      <c r="A69" s="535" t="s">
        <v>7</v>
      </c>
      <c r="B69" s="590">
        <v>120016</v>
      </c>
      <c r="C69" s="548">
        <v>120016</v>
      </c>
      <c r="D69" s="548">
        <v>120016</v>
      </c>
      <c r="E69" s="552">
        <f t="shared" si="4"/>
        <v>0</v>
      </c>
      <c r="H69" s="49"/>
      <c r="I69" s="48"/>
      <c r="J69" s="48"/>
      <c r="K69" s="48"/>
    </row>
    <row r="70" spans="1:12" ht="30" x14ac:dyDescent="0.2">
      <c r="A70" s="311" t="s">
        <v>610</v>
      </c>
      <c r="B70" s="588">
        <v>279772</v>
      </c>
      <c r="C70" s="81">
        <v>279772</v>
      </c>
      <c r="D70" s="81">
        <v>279772</v>
      </c>
      <c r="E70" s="552">
        <f t="shared" si="4"/>
        <v>0</v>
      </c>
      <c r="H70" s="49"/>
      <c r="I70" s="48"/>
      <c r="J70" s="48"/>
      <c r="K70" s="48"/>
    </row>
    <row r="71" spans="1:12" ht="60" x14ac:dyDescent="0.2">
      <c r="A71" s="1400" t="s">
        <v>998</v>
      </c>
      <c r="B71" s="588"/>
      <c r="C71" s="588">
        <v>74286</v>
      </c>
      <c r="D71" s="588">
        <v>74286</v>
      </c>
      <c r="E71" s="552">
        <f t="shared" si="4"/>
        <v>0</v>
      </c>
      <c r="H71" s="49"/>
      <c r="I71" s="48"/>
      <c r="J71" s="48"/>
      <c r="K71" s="48"/>
    </row>
    <row r="72" spans="1:12" ht="30" x14ac:dyDescent="0.2">
      <c r="A72" s="1690" t="s">
        <v>6</v>
      </c>
      <c r="B72" s="588"/>
      <c r="C72" s="588">
        <v>861930</v>
      </c>
      <c r="D72" s="588">
        <v>861930</v>
      </c>
      <c r="E72" s="552">
        <f t="shared" si="4"/>
        <v>0</v>
      </c>
      <c r="H72" s="49"/>
      <c r="I72" s="48"/>
      <c r="J72" s="48"/>
      <c r="K72" s="48"/>
    </row>
    <row r="73" spans="1:12" ht="30.75" thickBot="1" x14ac:dyDescent="0.25">
      <c r="A73" s="1693" t="s">
        <v>1149</v>
      </c>
      <c r="B73" s="1694"/>
      <c r="C73" s="1694"/>
      <c r="D73" s="1694">
        <v>23619</v>
      </c>
      <c r="E73" s="1695">
        <f t="shared" si="4"/>
        <v>23619</v>
      </c>
      <c r="H73" s="49"/>
      <c r="I73" s="48"/>
      <c r="J73" s="48"/>
      <c r="K73" s="48"/>
    </row>
    <row r="74" spans="1:12" ht="48" customHeight="1" thickBot="1" x14ac:dyDescent="0.25">
      <c r="A74" s="77" t="s">
        <v>302</v>
      </c>
      <c r="B74" s="556" t="s">
        <v>660</v>
      </c>
      <c r="C74" s="1294" t="s">
        <v>1021</v>
      </c>
      <c r="D74" s="390" t="s">
        <v>1111</v>
      </c>
      <c r="E74" s="391" t="s">
        <v>987</v>
      </c>
      <c r="H74" s="49"/>
      <c r="I74" s="48"/>
      <c r="J74" s="48"/>
      <c r="K74" s="48"/>
    </row>
    <row r="75" spans="1:12" s="1" customFormat="1" ht="19.149999999999999" customHeight="1" x14ac:dyDescent="0.25">
      <c r="A75" s="544" t="s">
        <v>124</v>
      </c>
      <c r="B75" s="1296">
        <f>SUM(B76:B123)</f>
        <v>1128251078</v>
      </c>
      <c r="C75" s="1297">
        <f>SUM(C76:C123)</f>
        <v>1189014049</v>
      </c>
      <c r="D75" s="1297">
        <f>SUM(D76:D123)</f>
        <v>1111068870</v>
      </c>
      <c r="E75" s="543">
        <f>D75-C75</f>
        <v>-77945179</v>
      </c>
      <c r="G75" s="2"/>
      <c r="H75" s="45"/>
      <c r="I75" s="46"/>
      <c r="J75" s="46"/>
      <c r="K75" s="46"/>
      <c r="L75" s="9"/>
    </row>
    <row r="76" spans="1:12" ht="19.149999999999999" customHeight="1" x14ac:dyDescent="0.2">
      <c r="A76" s="537" t="s">
        <v>137</v>
      </c>
      <c r="B76" s="588">
        <v>6640000</v>
      </c>
      <c r="C76" s="81">
        <f>6919400-500000</f>
        <v>6419400</v>
      </c>
      <c r="D76" s="81">
        <f>6919400-500000</f>
        <v>6419400</v>
      </c>
      <c r="E76" s="684">
        <f>D76-C76</f>
        <v>0</v>
      </c>
      <c r="H76" s="49"/>
      <c r="I76" s="48"/>
      <c r="J76" s="48"/>
      <c r="K76" s="48"/>
      <c r="L76" s="1"/>
    </row>
    <row r="77" spans="1:12" ht="19.149999999999999" customHeight="1" x14ac:dyDescent="0.2">
      <c r="A77" s="537" t="s">
        <v>138</v>
      </c>
      <c r="B77" s="588">
        <v>177219440</v>
      </c>
      <c r="C77" s="81">
        <v>180118426</v>
      </c>
      <c r="D77" s="81">
        <v>180118426</v>
      </c>
      <c r="E77" s="684">
        <f t="shared" ref="E77:E103" si="5">D77-C77</f>
        <v>0</v>
      </c>
      <c r="H77" s="49"/>
      <c r="I77" s="48"/>
      <c r="J77" s="48"/>
      <c r="K77" s="48"/>
    </row>
    <row r="78" spans="1:12" ht="19.149999999999999" customHeight="1" x14ac:dyDescent="0.2">
      <c r="A78" s="537" t="s">
        <v>139</v>
      </c>
      <c r="B78" s="588">
        <v>32550000</v>
      </c>
      <c r="C78" s="81">
        <f>29528720-500000</f>
        <v>29028720</v>
      </c>
      <c r="D78" s="81">
        <v>22937206</v>
      </c>
      <c r="E78" s="684">
        <f t="shared" si="5"/>
        <v>-6091514</v>
      </c>
      <c r="H78" s="49"/>
      <c r="I78" s="48"/>
      <c r="J78" s="48"/>
      <c r="K78" s="48"/>
    </row>
    <row r="79" spans="1:12" ht="19.149999999999999" customHeight="1" x14ac:dyDescent="0.2">
      <c r="A79" s="537" t="s">
        <v>140</v>
      </c>
      <c r="B79" s="588">
        <v>3860000</v>
      </c>
      <c r="C79" s="81">
        <v>3910000</v>
      </c>
      <c r="D79" s="81">
        <v>3910000</v>
      </c>
      <c r="E79" s="684">
        <f t="shared" si="5"/>
        <v>0</v>
      </c>
      <c r="H79" s="49"/>
      <c r="I79" s="48"/>
      <c r="J79" s="48"/>
      <c r="K79" s="48"/>
    </row>
    <row r="80" spans="1:12" ht="19.149999999999999" customHeight="1" x14ac:dyDescent="0.25">
      <c r="A80" s="537" t="s">
        <v>141</v>
      </c>
      <c r="B80" s="588">
        <v>10802032</v>
      </c>
      <c r="C80" s="81">
        <f>11337969-500000</f>
        <v>10837969</v>
      </c>
      <c r="D80" s="81">
        <v>9561858</v>
      </c>
      <c r="E80" s="684">
        <f t="shared" si="5"/>
        <v>-1276111</v>
      </c>
      <c r="H80" s="45"/>
      <c r="I80" s="46"/>
      <c r="J80" s="46"/>
      <c r="K80" s="46"/>
    </row>
    <row r="81" spans="1:11" ht="19.149999999999999" customHeight="1" x14ac:dyDescent="0.2">
      <c r="A81" s="537" t="s">
        <v>142</v>
      </c>
      <c r="B81" s="588">
        <v>3880000</v>
      </c>
      <c r="C81" s="81">
        <f>3880000-500000</f>
        <v>3380000</v>
      </c>
      <c r="D81" s="81">
        <v>2922315</v>
      </c>
      <c r="E81" s="684">
        <f t="shared" si="5"/>
        <v>-457685</v>
      </c>
      <c r="H81" s="45"/>
      <c r="I81" s="48"/>
      <c r="J81" s="48"/>
      <c r="K81" s="48"/>
    </row>
    <row r="82" spans="1:11" ht="19.149999999999999" customHeight="1" x14ac:dyDescent="0.2">
      <c r="A82" s="537" t="s">
        <v>143</v>
      </c>
      <c r="B82" s="588">
        <v>954000</v>
      </c>
      <c r="C82" s="81">
        <v>1275223</v>
      </c>
      <c r="D82" s="81">
        <v>1275223</v>
      </c>
      <c r="E82" s="684">
        <f t="shared" si="5"/>
        <v>0</v>
      </c>
      <c r="H82" s="49"/>
      <c r="I82" s="48"/>
      <c r="J82" s="48"/>
      <c r="K82" s="48"/>
    </row>
    <row r="83" spans="1:11" ht="19.149999999999999" customHeight="1" x14ac:dyDescent="0.2">
      <c r="A83" s="537" t="s">
        <v>144</v>
      </c>
      <c r="B83" s="588">
        <v>11000000</v>
      </c>
      <c r="C83" s="81">
        <v>8000000</v>
      </c>
      <c r="D83" s="81">
        <v>8006000</v>
      </c>
      <c r="E83" s="684">
        <f t="shared" si="5"/>
        <v>6000</v>
      </c>
      <c r="H83" s="49"/>
      <c r="I83" s="48"/>
      <c r="J83" s="48"/>
      <c r="K83" s="48"/>
    </row>
    <row r="84" spans="1:11" ht="19.149999999999999" customHeight="1" x14ac:dyDescent="0.2">
      <c r="A84" s="537" t="s">
        <v>145</v>
      </c>
      <c r="B84" s="588">
        <v>87175427</v>
      </c>
      <c r="C84" s="81">
        <v>120895396</v>
      </c>
      <c r="D84" s="81">
        <v>120889396</v>
      </c>
      <c r="E84" s="684">
        <f t="shared" si="5"/>
        <v>-6000</v>
      </c>
      <c r="H84" s="49"/>
      <c r="I84" s="48"/>
      <c r="J84" s="48"/>
      <c r="K84" s="48"/>
    </row>
    <row r="85" spans="1:11" ht="19.149999999999999" customHeight="1" x14ac:dyDescent="0.2">
      <c r="A85" s="537" t="s">
        <v>2</v>
      </c>
      <c r="B85" s="588">
        <v>12700000</v>
      </c>
      <c r="C85" s="81">
        <v>15700000</v>
      </c>
      <c r="D85" s="81">
        <v>18100000</v>
      </c>
      <c r="E85" s="684">
        <f t="shared" si="5"/>
        <v>2400000</v>
      </c>
      <c r="H85" s="49"/>
      <c r="I85" s="48"/>
      <c r="J85" s="48"/>
      <c r="K85" s="48"/>
    </row>
    <row r="86" spans="1:11" ht="19.149999999999999" customHeight="1" x14ac:dyDescent="0.2">
      <c r="A86" s="537" t="s">
        <v>146</v>
      </c>
      <c r="B86" s="588">
        <f>270272989+28836000</f>
        <v>299108989</v>
      </c>
      <c r="C86" s="81">
        <v>352382095</v>
      </c>
      <c r="D86" s="81">
        <v>241756440</v>
      </c>
      <c r="E86" s="684">
        <f t="shared" si="5"/>
        <v>-110625655</v>
      </c>
      <c r="H86" s="49"/>
      <c r="I86" s="48"/>
      <c r="J86" s="48"/>
      <c r="K86" s="48"/>
    </row>
    <row r="87" spans="1:11" ht="19.149999999999999" customHeight="1" x14ac:dyDescent="0.25">
      <c r="A87" s="537" t="s">
        <v>147</v>
      </c>
      <c r="B87" s="588">
        <v>1200000</v>
      </c>
      <c r="C87" s="81">
        <f>1200000-500000</f>
        <v>700000</v>
      </c>
      <c r="D87" s="81">
        <f>1200000-500000</f>
        <v>700000</v>
      </c>
      <c r="E87" s="684">
        <f t="shared" si="5"/>
        <v>0</v>
      </c>
      <c r="H87" s="45"/>
      <c r="I87" s="46"/>
      <c r="J87" s="44"/>
      <c r="K87" s="46"/>
    </row>
    <row r="88" spans="1:11" ht="19.149999999999999" customHeight="1" x14ac:dyDescent="0.2">
      <c r="A88" s="537" t="s">
        <v>148</v>
      </c>
      <c r="B88" s="588">
        <v>780000</v>
      </c>
      <c r="C88" s="81">
        <f>780000-500000</f>
        <v>280000</v>
      </c>
      <c r="D88" s="81">
        <f>780000-500000</f>
        <v>280000</v>
      </c>
      <c r="E88" s="684">
        <f t="shared" si="5"/>
        <v>0</v>
      </c>
      <c r="H88" s="49"/>
      <c r="I88" s="48"/>
      <c r="J88" s="48"/>
      <c r="K88" s="48"/>
    </row>
    <row r="89" spans="1:11" ht="19.149999999999999" customHeight="1" x14ac:dyDescent="0.2">
      <c r="A89" s="537" t="s">
        <v>519</v>
      </c>
      <c r="B89" s="588">
        <v>97872652</v>
      </c>
      <c r="C89" s="81">
        <v>59870620</v>
      </c>
      <c r="D89" s="81">
        <v>59870620</v>
      </c>
      <c r="E89" s="684">
        <f t="shared" si="5"/>
        <v>0</v>
      </c>
      <c r="H89" s="49"/>
      <c r="I89" s="48"/>
      <c r="J89" s="48"/>
      <c r="K89" s="48"/>
    </row>
    <row r="90" spans="1:11" ht="19.149999999999999" customHeight="1" x14ac:dyDescent="0.2">
      <c r="A90" s="537" t="s">
        <v>489</v>
      </c>
      <c r="B90" s="588">
        <v>300000</v>
      </c>
      <c r="C90" s="81">
        <v>300000</v>
      </c>
      <c r="D90" s="81">
        <v>217350</v>
      </c>
      <c r="E90" s="684">
        <f t="shared" si="5"/>
        <v>-82650</v>
      </c>
      <c r="H90" s="49"/>
      <c r="I90" s="48"/>
      <c r="J90" s="48"/>
      <c r="K90" s="48"/>
    </row>
    <row r="91" spans="1:11" ht="31.7" customHeight="1" x14ac:dyDescent="0.2">
      <c r="A91" s="537" t="s">
        <v>371</v>
      </c>
      <c r="B91" s="588">
        <v>21175000</v>
      </c>
      <c r="C91" s="81">
        <v>21229053</v>
      </c>
      <c r="D91" s="81">
        <v>21229053</v>
      </c>
      <c r="E91" s="684">
        <f t="shared" si="5"/>
        <v>0</v>
      </c>
      <c r="H91" s="49"/>
      <c r="I91" s="48"/>
      <c r="J91" s="48"/>
      <c r="K91" s="48"/>
    </row>
    <row r="92" spans="1:11" ht="15" x14ac:dyDescent="0.2">
      <c r="A92" s="537" t="s">
        <v>149</v>
      </c>
      <c r="B92" s="588">
        <v>7200000</v>
      </c>
      <c r="C92" s="81">
        <v>10246319</v>
      </c>
      <c r="D92" s="81">
        <v>10246319</v>
      </c>
      <c r="E92" s="684">
        <f t="shared" si="5"/>
        <v>0</v>
      </c>
      <c r="H92" s="49"/>
      <c r="I92" s="48"/>
      <c r="J92" s="48"/>
      <c r="K92" s="48"/>
    </row>
    <row r="93" spans="1:11" ht="15" x14ac:dyDescent="0.2">
      <c r="A93" s="537" t="s">
        <v>473</v>
      </c>
      <c r="B93" s="588">
        <v>11500000</v>
      </c>
      <c r="C93" s="81">
        <v>11500000</v>
      </c>
      <c r="D93" s="81">
        <v>11500000</v>
      </c>
      <c r="E93" s="684">
        <f t="shared" si="5"/>
        <v>0</v>
      </c>
      <c r="H93" s="49"/>
      <c r="I93" s="48"/>
      <c r="J93" s="48"/>
      <c r="K93" s="48"/>
    </row>
    <row r="94" spans="1:11" ht="30" x14ac:dyDescent="0.2">
      <c r="A94" s="536" t="s">
        <v>632</v>
      </c>
      <c r="B94" s="588">
        <v>41140000</v>
      </c>
      <c r="C94" s="81">
        <v>41140000</v>
      </c>
      <c r="D94" s="81">
        <v>41140000</v>
      </c>
      <c r="E94" s="684">
        <f t="shared" si="5"/>
        <v>0</v>
      </c>
      <c r="G94" s="40"/>
      <c r="H94" s="695"/>
      <c r="I94" s="48"/>
      <c r="J94" s="48"/>
      <c r="K94" s="48"/>
    </row>
    <row r="95" spans="1:11" ht="30.75" customHeight="1" x14ac:dyDescent="0.2">
      <c r="A95" s="535" t="s">
        <v>611</v>
      </c>
      <c r="B95" s="588">
        <v>1475232</v>
      </c>
      <c r="C95" s="81">
        <v>1475232</v>
      </c>
      <c r="D95" s="81">
        <v>1475232</v>
      </c>
      <c r="E95" s="684">
        <f t="shared" si="5"/>
        <v>0</v>
      </c>
      <c r="G95" s="40"/>
      <c r="H95" s="694"/>
      <c r="I95" s="48"/>
      <c r="J95" s="48"/>
      <c r="K95" s="48"/>
    </row>
    <row r="96" spans="1:11" ht="30.75" customHeight="1" x14ac:dyDescent="0.2">
      <c r="A96" s="457" t="s">
        <v>1150</v>
      </c>
      <c r="B96" s="588"/>
      <c r="C96" s="81"/>
      <c r="D96" s="81">
        <v>7175499</v>
      </c>
      <c r="E96" s="684">
        <f t="shared" si="5"/>
        <v>7175499</v>
      </c>
      <c r="G96" s="40"/>
      <c r="H96" s="694"/>
      <c r="I96" s="48"/>
      <c r="J96" s="48"/>
      <c r="K96" s="48"/>
    </row>
    <row r="97" spans="1:11" ht="45" x14ac:dyDescent="0.2">
      <c r="A97" s="311" t="s">
        <v>612</v>
      </c>
      <c r="B97" s="588">
        <v>142061</v>
      </c>
      <c r="C97" s="81">
        <v>142061</v>
      </c>
      <c r="D97" s="81">
        <v>142061</v>
      </c>
      <c r="E97" s="684">
        <f t="shared" si="5"/>
        <v>0</v>
      </c>
      <c r="G97" s="40"/>
      <c r="H97" s="694"/>
      <c r="I97" s="48"/>
      <c r="J97" s="48"/>
      <c r="K97" s="48"/>
    </row>
    <row r="98" spans="1:11" ht="30" x14ac:dyDescent="0.2">
      <c r="A98" s="536" t="s">
        <v>171</v>
      </c>
      <c r="B98" s="591">
        <v>1736400</v>
      </c>
      <c r="C98" s="533">
        <v>1736400</v>
      </c>
      <c r="D98" s="533">
        <v>1453297</v>
      </c>
      <c r="E98" s="684">
        <f t="shared" si="5"/>
        <v>-283103</v>
      </c>
      <c r="F98" s="40"/>
      <c r="G98" s="40"/>
      <c r="H98" s="695"/>
      <c r="I98" s="48"/>
      <c r="J98" s="48"/>
      <c r="K98" s="48"/>
    </row>
    <row r="99" spans="1:11" ht="30" x14ac:dyDescent="0.2">
      <c r="A99" s="546" t="s">
        <v>456</v>
      </c>
      <c r="B99" s="591">
        <v>22790772</v>
      </c>
      <c r="C99" s="533">
        <v>22790772</v>
      </c>
      <c r="D99" s="533">
        <v>20127245</v>
      </c>
      <c r="E99" s="684">
        <f t="shared" si="5"/>
        <v>-2663527</v>
      </c>
      <c r="F99" s="40"/>
      <c r="G99" s="40"/>
      <c r="H99" s="49"/>
      <c r="I99" s="48"/>
      <c r="J99" s="48"/>
      <c r="K99" s="48"/>
    </row>
    <row r="100" spans="1:11" ht="45" x14ac:dyDescent="0.2">
      <c r="A100" s="535" t="s">
        <v>12</v>
      </c>
      <c r="B100" s="591">
        <v>103134170</v>
      </c>
      <c r="C100" s="533">
        <v>103134170</v>
      </c>
      <c r="D100" s="533">
        <v>103134170</v>
      </c>
      <c r="E100" s="684">
        <f t="shared" si="5"/>
        <v>0</v>
      </c>
      <c r="F100" s="40"/>
      <c r="H100" s="49"/>
      <c r="I100" s="48"/>
      <c r="J100" s="48"/>
      <c r="K100" s="48"/>
    </row>
    <row r="101" spans="1:11" ht="30" x14ac:dyDescent="0.2">
      <c r="A101" s="535" t="s">
        <v>11</v>
      </c>
      <c r="B101" s="591">
        <v>27686000</v>
      </c>
      <c r="C101" s="533">
        <v>18844349</v>
      </c>
      <c r="D101" s="533">
        <v>18844349</v>
      </c>
      <c r="E101" s="684">
        <f t="shared" si="5"/>
        <v>0</v>
      </c>
      <c r="F101" s="40"/>
      <c r="H101" s="49"/>
      <c r="I101" s="48"/>
      <c r="J101" s="48"/>
      <c r="K101" s="48"/>
    </row>
    <row r="102" spans="1:11" ht="45" x14ac:dyDescent="0.2">
      <c r="A102" s="535" t="s">
        <v>13</v>
      </c>
      <c r="B102" s="591">
        <v>298450</v>
      </c>
      <c r="C102" s="533">
        <v>298450</v>
      </c>
      <c r="D102" s="533">
        <v>298450</v>
      </c>
      <c r="E102" s="684">
        <f t="shared" si="5"/>
        <v>0</v>
      </c>
      <c r="F102" s="40"/>
      <c r="H102" s="49"/>
      <c r="I102" s="48"/>
      <c r="J102" s="48"/>
      <c r="K102" s="48"/>
    </row>
    <row r="103" spans="1:11" ht="30.75" thickBot="1" x14ac:dyDescent="0.25">
      <c r="A103" s="547" t="s">
        <v>14</v>
      </c>
      <c r="B103" s="1295">
        <v>1418200</v>
      </c>
      <c r="C103" s="1389">
        <v>1418200</v>
      </c>
      <c r="D103" s="1389">
        <v>1418200</v>
      </c>
      <c r="E103" s="1542">
        <f t="shared" si="5"/>
        <v>0</v>
      </c>
      <c r="F103" s="40"/>
      <c r="H103" s="49"/>
      <c r="I103" s="48"/>
      <c r="J103" s="48"/>
      <c r="K103" s="48"/>
    </row>
    <row r="104" spans="1:11" ht="44.25" customHeight="1" thickBot="1" x14ac:dyDescent="0.25">
      <c r="A104" s="1300" t="s">
        <v>302</v>
      </c>
      <c r="B104" s="556" t="s">
        <v>660</v>
      </c>
      <c r="C104" s="1301" t="s">
        <v>1021</v>
      </c>
      <c r="D104" s="1301" t="s">
        <v>1111</v>
      </c>
      <c r="E104" s="1299" t="s">
        <v>987</v>
      </c>
      <c r="F104" s="40"/>
      <c r="H104" s="49"/>
      <c r="I104" s="48"/>
      <c r="J104" s="48"/>
      <c r="K104" s="48"/>
    </row>
    <row r="105" spans="1:11" ht="33.75" customHeight="1" x14ac:dyDescent="0.2">
      <c r="A105" s="1302" t="s">
        <v>15</v>
      </c>
      <c r="B105" s="1303">
        <v>27940000</v>
      </c>
      <c r="C105" s="1390">
        <v>33655000</v>
      </c>
      <c r="D105" s="1390">
        <v>33655000</v>
      </c>
      <c r="E105" s="1298">
        <f>D105-C105</f>
        <v>0</v>
      </c>
      <c r="F105" s="40"/>
      <c r="H105" s="49"/>
      <c r="I105" s="48"/>
      <c r="J105" s="48"/>
      <c r="K105" s="48"/>
    </row>
    <row r="106" spans="1:11" ht="45" x14ac:dyDescent="0.2">
      <c r="A106" s="535" t="s">
        <v>16</v>
      </c>
      <c r="B106" s="591">
        <v>7952936</v>
      </c>
      <c r="C106" s="533">
        <v>6236595</v>
      </c>
      <c r="D106" s="533">
        <v>6236595</v>
      </c>
      <c r="E106" s="684">
        <f t="shared" ref="E106:E133" si="6">D106-C106</f>
        <v>0</v>
      </c>
      <c r="F106" s="40"/>
      <c r="G106" s="40"/>
      <c r="H106" s="49"/>
      <c r="I106" s="48"/>
      <c r="J106" s="48"/>
      <c r="K106" s="48"/>
    </row>
    <row r="107" spans="1:11" ht="30" x14ac:dyDescent="0.2">
      <c r="A107" s="536" t="s">
        <v>557</v>
      </c>
      <c r="B107" s="591">
        <v>37552500</v>
      </c>
      <c r="C107" s="533">
        <v>37552500</v>
      </c>
      <c r="D107" s="533">
        <v>0</v>
      </c>
      <c r="E107" s="684">
        <f t="shared" si="6"/>
        <v>-37552500</v>
      </c>
      <c r="F107" s="40"/>
      <c r="H107" s="49"/>
      <c r="I107" s="48"/>
      <c r="J107" s="48"/>
      <c r="K107" s="48"/>
    </row>
    <row r="108" spans="1:11" ht="30" x14ac:dyDescent="0.2">
      <c r="A108" s="536" t="s">
        <v>600</v>
      </c>
      <c r="B108" s="591">
        <v>4648200</v>
      </c>
      <c r="C108" s="533">
        <v>4648200</v>
      </c>
      <c r="D108" s="533">
        <v>4648200</v>
      </c>
      <c r="E108" s="684">
        <f t="shared" si="6"/>
        <v>0</v>
      </c>
      <c r="F108" s="40"/>
      <c r="H108" s="49"/>
      <c r="I108" s="48"/>
      <c r="J108" s="48"/>
      <c r="K108" s="48"/>
    </row>
    <row r="109" spans="1:11" ht="15" x14ac:dyDescent="0.2">
      <c r="A109" s="536" t="s">
        <v>601</v>
      </c>
      <c r="B109" s="591">
        <v>4636670</v>
      </c>
      <c r="C109" s="533">
        <v>4636670</v>
      </c>
      <c r="D109" s="533">
        <v>4636670</v>
      </c>
      <c r="E109" s="684">
        <f t="shared" si="6"/>
        <v>0</v>
      </c>
      <c r="F109" s="40"/>
      <c r="H109" s="49"/>
      <c r="I109" s="48"/>
      <c r="J109" s="48"/>
      <c r="K109" s="48"/>
    </row>
    <row r="110" spans="1:11" ht="30" x14ac:dyDescent="0.2">
      <c r="A110" s="536" t="s">
        <v>602</v>
      </c>
      <c r="B110" s="591">
        <v>14661483</v>
      </c>
      <c r="C110" s="533">
        <v>14661483</v>
      </c>
      <c r="D110" s="533">
        <v>14661483</v>
      </c>
      <c r="E110" s="684">
        <f t="shared" si="6"/>
        <v>0</v>
      </c>
      <c r="F110" s="40"/>
      <c r="H110" s="49"/>
      <c r="I110" s="48"/>
      <c r="J110" s="48"/>
      <c r="K110" s="48"/>
    </row>
    <row r="111" spans="1:11" ht="30" x14ac:dyDescent="0.2">
      <c r="A111" s="536" t="s">
        <v>619</v>
      </c>
      <c r="B111" s="591">
        <v>0</v>
      </c>
      <c r="C111" s="533">
        <v>0</v>
      </c>
      <c r="D111" s="533">
        <v>0</v>
      </c>
      <c r="E111" s="684">
        <f t="shared" si="6"/>
        <v>0</v>
      </c>
      <c r="F111" s="40"/>
      <c r="H111" s="49"/>
      <c r="I111" s="48"/>
      <c r="J111" s="48"/>
      <c r="K111" s="48"/>
    </row>
    <row r="112" spans="1:11" ht="15" x14ac:dyDescent="0.2">
      <c r="A112" s="536" t="s">
        <v>698</v>
      </c>
      <c r="B112" s="591">
        <v>12225000</v>
      </c>
      <c r="C112" s="533">
        <v>12225000</v>
      </c>
      <c r="D112" s="533">
        <v>11994767</v>
      </c>
      <c r="E112" s="684">
        <f t="shared" si="6"/>
        <v>-230233</v>
      </c>
      <c r="F112" s="40"/>
      <c r="H112" s="49"/>
      <c r="I112" s="48"/>
      <c r="J112" s="48"/>
      <c r="K112" s="48"/>
    </row>
    <row r="113" spans="1:12" ht="15" x14ac:dyDescent="0.2">
      <c r="A113" s="536" t="s">
        <v>633</v>
      </c>
      <c r="B113" s="591">
        <v>19050000</v>
      </c>
      <c r="C113" s="533">
        <v>18923000</v>
      </c>
      <c r="D113" s="533">
        <v>18923000</v>
      </c>
      <c r="E113" s="684">
        <f t="shared" si="6"/>
        <v>0</v>
      </c>
      <c r="F113" s="40"/>
      <c r="H113" s="49"/>
      <c r="I113" s="48"/>
      <c r="J113" s="48"/>
      <c r="K113" s="48"/>
    </row>
    <row r="114" spans="1:12" ht="15" x14ac:dyDescent="0.2">
      <c r="A114" s="536" t="s">
        <v>999</v>
      </c>
      <c r="B114" s="591"/>
      <c r="C114" s="533">
        <v>2999137</v>
      </c>
      <c r="D114" s="533">
        <v>2999137</v>
      </c>
      <c r="E114" s="684">
        <f t="shared" si="6"/>
        <v>0</v>
      </c>
      <c r="F114" s="40"/>
      <c r="H114" s="49"/>
      <c r="I114" s="48"/>
      <c r="J114" s="48"/>
      <c r="K114" s="48"/>
    </row>
    <row r="115" spans="1:12" ht="60" x14ac:dyDescent="0.2">
      <c r="A115" s="1691" t="s">
        <v>1151</v>
      </c>
      <c r="B115" s="591"/>
      <c r="C115" s="533">
        <v>11331245</v>
      </c>
      <c r="D115" s="533">
        <v>11331245</v>
      </c>
      <c r="E115" s="684">
        <f t="shared" si="6"/>
        <v>0</v>
      </c>
      <c r="F115" s="40"/>
      <c r="H115" s="49"/>
      <c r="I115" s="48"/>
      <c r="J115" s="48"/>
      <c r="K115" s="48"/>
    </row>
    <row r="116" spans="1:12" ht="45" x14ac:dyDescent="0.2">
      <c r="A116" s="1691" t="s">
        <v>1152</v>
      </c>
      <c r="B116" s="591"/>
      <c r="C116" s="533"/>
      <c r="D116" s="533">
        <v>304800</v>
      </c>
      <c r="E116" s="684">
        <f t="shared" si="6"/>
        <v>304800</v>
      </c>
      <c r="F116" s="40"/>
      <c r="H116" s="49"/>
      <c r="I116" s="48"/>
      <c r="J116" s="48"/>
      <c r="K116" s="48"/>
    </row>
    <row r="117" spans="1:12" ht="30" x14ac:dyDescent="0.2">
      <c r="A117" s="1691" t="s">
        <v>1153</v>
      </c>
      <c r="B117" s="591"/>
      <c r="C117" s="533"/>
      <c r="D117" s="533">
        <v>57785000</v>
      </c>
      <c r="E117" s="684">
        <f t="shared" si="6"/>
        <v>57785000</v>
      </c>
      <c r="F117" s="40"/>
      <c r="H117" s="49"/>
      <c r="I117" s="48"/>
      <c r="J117" s="48"/>
      <c r="K117" s="48"/>
    </row>
    <row r="118" spans="1:12" ht="15" x14ac:dyDescent="0.2">
      <c r="A118" s="1691" t="s">
        <v>1154</v>
      </c>
      <c r="B118" s="591"/>
      <c r="C118" s="533"/>
      <c r="D118" s="533">
        <v>5080000</v>
      </c>
      <c r="E118" s="684">
        <f t="shared" si="6"/>
        <v>5080000</v>
      </c>
      <c r="F118" s="40"/>
      <c r="H118" s="49"/>
      <c r="I118" s="48"/>
      <c r="J118" s="48"/>
      <c r="K118" s="48"/>
    </row>
    <row r="119" spans="1:12" ht="15" x14ac:dyDescent="0.2">
      <c r="A119" s="1691" t="s">
        <v>1155</v>
      </c>
      <c r="B119" s="591"/>
      <c r="C119" s="533"/>
      <c r="D119" s="533">
        <v>8572500</v>
      </c>
      <c r="E119" s="684">
        <f t="shared" si="6"/>
        <v>8572500</v>
      </c>
      <c r="F119" s="40"/>
      <c r="H119" s="49"/>
      <c r="I119" s="48"/>
      <c r="J119" s="48"/>
      <c r="K119" s="48"/>
    </row>
    <row r="120" spans="1:12" ht="15" x14ac:dyDescent="0.2">
      <c r="A120" s="1447" t="s">
        <v>1046</v>
      </c>
      <c r="B120" s="591"/>
      <c r="C120" s="533">
        <v>197880</v>
      </c>
      <c r="D120" s="533">
        <v>197880</v>
      </c>
      <c r="E120" s="684">
        <f t="shared" si="6"/>
        <v>0</v>
      </c>
      <c r="F120" s="40"/>
      <c r="H120" s="49"/>
      <c r="I120" s="48"/>
      <c r="J120" s="48"/>
      <c r="K120" s="48"/>
    </row>
    <row r="121" spans="1:12" ht="24" customHeight="1" x14ac:dyDescent="0.2">
      <c r="A121" s="537" t="s">
        <v>219</v>
      </c>
      <c r="B121" s="588">
        <v>10342900</v>
      </c>
      <c r="C121" s="81">
        <v>11391920</v>
      </c>
      <c r="D121" s="81">
        <v>11391920</v>
      </c>
      <c r="E121" s="684">
        <f t="shared" si="6"/>
        <v>0</v>
      </c>
      <c r="H121" s="49"/>
      <c r="I121" s="48"/>
      <c r="J121" s="48"/>
      <c r="K121" s="48"/>
    </row>
    <row r="122" spans="1:12" ht="27" customHeight="1" x14ac:dyDescent="0.2">
      <c r="A122" s="536" t="s">
        <v>198</v>
      </c>
      <c r="B122" s="588">
        <v>797779</v>
      </c>
      <c r="C122" s="81">
        <v>797779</v>
      </c>
      <c r="D122" s="81">
        <v>797779</v>
      </c>
      <c r="E122" s="684">
        <f t="shared" si="6"/>
        <v>0</v>
      </c>
      <c r="H122" s="49"/>
      <c r="I122" s="48"/>
      <c r="J122" s="48"/>
      <c r="K122" s="48"/>
    </row>
    <row r="123" spans="1:12" ht="27" customHeight="1" x14ac:dyDescent="0.2">
      <c r="A123" s="536" t="s">
        <v>634</v>
      </c>
      <c r="B123" s="588">
        <f>1218885+1485900</f>
        <v>2704785</v>
      </c>
      <c r="C123" s="81">
        <f>1218885+1485900</f>
        <v>2704785</v>
      </c>
      <c r="D123" s="81">
        <f>1218885+1485900</f>
        <v>2704785</v>
      </c>
      <c r="E123" s="684">
        <f t="shared" si="6"/>
        <v>0</v>
      </c>
      <c r="H123" s="49"/>
      <c r="I123" s="48"/>
      <c r="J123" s="48"/>
      <c r="K123" s="48"/>
    </row>
    <row r="124" spans="1:12" s="1" customFormat="1" ht="29.25" customHeight="1" x14ac:dyDescent="0.25">
      <c r="A124" s="538" t="s">
        <v>150</v>
      </c>
      <c r="B124" s="1304">
        <f>SUM(B125:B133)</f>
        <v>27600000</v>
      </c>
      <c r="C124" s="1304">
        <f>SUM(C125:C133)</f>
        <v>27600000</v>
      </c>
      <c r="D124" s="1304">
        <f>SUM(D125:D133)</f>
        <v>30600000</v>
      </c>
      <c r="E124" s="1305">
        <f>SUM(E125:E133)</f>
        <v>3000000</v>
      </c>
      <c r="F124" s="44"/>
      <c r="G124" s="44"/>
      <c r="H124" s="45"/>
      <c r="I124" s="46"/>
      <c r="J124" s="46"/>
      <c r="K124" s="46"/>
      <c r="L124" s="9"/>
    </row>
    <row r="125" spans="1:12" ht="30.2" customHeight="1" x14ac:dyDescent="0.2">
      <c r="A125" s="537" t="s">
        <v>151</v>
      </c>
      <c r="B125" s="591">
        <v>15200000</v>
      </c>
      <c r="C125" s="591">
        <v>15200000</v>
      </c>
      <c r="D125" s="591">
        <v>13960000</v>
      </c>
      <c r="E125" s="684">
        <f t="shared" si="6"/>
        <v>-1240000</v>
      </c>
      <c r="H125" s="49"/>
      <c r="I125" s="48"/>
      <c r="J125" s="48"/>
      <c r="K125" s="48"/>
    </row>
    <row r="126" spans="1:12" ht="19.149999999999999" customHeight="1" x14ac:dyDescent="0.2">
      <c r="A126" s="537" t="s">
        <v>152</v>
      </c>
      <c r="B126" s="591">
        <v>0</v>
      </c>
      <c r="C126" s="591">
        <v>0</v>
      </c>
      <c r="D126" s="591">
        <v>0</v>
      </c>
      <c r="E126" s="684">
        <f t="shared" si="6"/>
        <v>0</v>
      </c>
      <c r="H126" s="49"/>
      <c r="I126" s="48"/>
      <c r="J126" s="48"/>
      <c r="K126" s="48"/>
    </row>
    <row r="127" spans="1:12" ht="19.149999999999999" customHeight="1" x14ac:dyDescent="0.2">
      <c r="A127" s="537" t="s">
        <v>636</v>
      </c>
      <c r="B127" s="591">
        <v>4500000</v>
      </c>
      <c r="C127" s="591">
        <v>4500000</v>
      </c>
      <c r="D127" s="591">
        <v>5500000</v>
      </c>
      <c r="E127" s="684">
        <f t="shared" si="6"/>
        <v>1000000</v>
      </c>
      <c r="H127" s="49"/>
      <c r="I127" s="48"/>
      <c r="J127" s="48"/>
      <c r="K127" s="48"/>
    </row>
    <row r="128" spans="1:12" ht="19.149999999999999" customHeight="1" x14ac:dyDescent="0.25">
      <c r="A128" s="537" t="s">
        <v>310</v>
      </c>
      <c r="B128" s="591">
        <v>500000</v>
      </c>
      <c r="C128" s="591">
        <v>500000</v>
      </c>
      <c r="D128" s="591">
        <v>500000</v>
      </c>
      <c r="E128" s="684">
        <f t="shared" si="6"/>
        <v>0</v>
      </c>
      <c r="H128" s="43"/>
      <c r="I128" s="46"/>
      <c r="J128" s="46"/>
      <c r="K128" s="46"/>
    </row>
    <row r="129" spans="1:12" ht="19.149999999999999" customHeight="1" x14ac:dyDescent="0.2">
      <c r="A129" s="537" t="s">
        <v>637</v>
      </c>
      <c r="B129" s="591">
        <v>1000000</v>
      </c>
      <c r="C129" s="591">
        <v>1000000</v>
      </c>
      <c r="D129" s="591">
        <v>1000000</v>
      </c>
      <c r="E129" s="684">
        <f t="shared" si="6"/>
        <v>0</v>
      </c>
      <c r="H129" s="50"/>
      <c r="I129" s="48"/>
      <c r="J129" s="48"/>
      <c r="K129" s="48"/>
    </row>
    <row r="130" spans="1:12" ht="19.149999999999999" customHeight="1" x14ac:dyDescent="0.2">
      <c r="A130" s="537" t="s">
        <v>153</v>
      </c>
      <c r="B130" s="591">
        <v>800000</v>
      </c>
      <c r="C130" s="591">
        <v>800000</v>
      </c>
      <c r="D130" s="591">
        <v>800000</v>
      </c>
      <c r="E130" s="684">
        <f t="shared" si="6"/>
        <v>0</v>
      </c>
      <c r="H130" s="50"/>
      <c r="I130" s="48"/>
      <c r="J130" s="48"/>
      <c r="K130" s="48"/>
    </row>
    <row r="131" spans="1:12" ht="15" x14ac:dyDescent="0.2">
      <c r="A131" s="539" t="s">
        <v>635</v>
      </c>
      <c r="B131" s="591">
        <v>1000000</v>
      </c>
      <c r="C131" s="591">
        <v>1000000</v>
      </c>
      <c r="D131" s="591">
        <v>4240000</v>
      </c>
      <c r="E131" s="684">
        <f t="shared" si="6"/>
        <v>3240000</v>
      </c>
      <c r="H131" s="50"/>
      <c r="I131" s="48"/>
      <c r="J131" s="48"/>
      <c r="K131" s="48"/>
    </row>
    <row r="132" spans="1:12" ht="19.149999999999999" customHeight="1" x14ac:dyDescent="0.2">
      <c r="A132" s="537" t="s">
        <v>311</v>
      </c>
      <c r="B132" s="591">
        <v>2800000</v>
      </c>
      <c r="C132" s="591">
        <v>2800000</v>
      </c>
      <c r="D132" s="591">
        <v>2800000</v>
      </c>
      <c r="E132" s="684">
        <f t="shared" si="6"/>
        <v>0</v>
      </c>
      <c r="H132" s="50"/>
      <c r="I132" s="48"/>
      <c r="J132" s="48"/>
      <c r="K132" s="48"/>
    </row>
    <row r="133" spans="1:12" ht="19.149999999999999" customHeight="1" x14ac:dyDescent="0.2">
      <c r="A133" s="537" t="s">
        <v>312</v>
      </c>
      <c r="B133" s="591">
        <v>1800000</v>
      </c>
      <c r="C133" s="591">
        <v>1800000</v>
      </c>
      <c r="D133" s="591">
        <v>1800000</v>
      </c>
      <c r="E133" s="684">
        <f t="shared" si="6"/>
        <v>0</v>
      </c>
      <c r="H133" s="50"/>
      <c r="I133" s="48"/>
      <c r="J133" s="48"/>
      <c r="K133" s="48"/>
    </row>
    <row r="134" spans="1:12" s="1" customFormat="1" ht="28.5" customHeight="1" x14ac:dyDescent="0.25">
      <c r="A134" s="538" t="s">
        <v>129</v>
      </c>
      <c r="B134" s="80">
        <f>B135+B136+B137+B138+B139+B140+B141+B144+B145</f>
        <v>1355809612</v>
      </c>
      <c r="C134" s="80">
        <f>C135+C136+C137+C138+C139+C140+C141+C144+C145</f>
        <v>1221427820</v>
      </c>
      <c r="D134" s="80">
        <f>D135+D136+D137+D138+D139+D140+D141+D144+D145</f>
        <v>1229156400</v>
      </c>
      <c r="E134" s="1305">
        <f>SUM(E135:E144)</f>
        <v>7728580</v>
      </c>
      <c r="H134" s="43"/>
      <c r="I134" s="87"/>
      <c r="J134" s="87"/>
      <c r="K134" s="87"/>
    </row>
    <row r="135" spans="1:12" ht="28.5" customHeight="1" x14ac:dyDescent="0.2">
      <c r="A135" s="540" t="s">
        <v>154</v>
      </c>
      <c r="B135" s="533">
        <v>7183231</v>
      </c>
      <c r="C135" s="81">
        <v>7183231</v>
      </c>
      <c r="D135" s="81">
        <v>7183231</v>
      </c>
      <c r="E135" s="684">
        <f>D135-B135</f>
        <v>0</v>
      </c>
      <c r="H135" s="43"/>
      <c r="I135" s="37"/>
      <c r="J135" s="37"/>
      <c r="K135" s="37"/>
      <c r="L135" s="1"/>
    </row>
    <row r="136" spans="1:12" ht="30" x14ac:dyDescent="0.25">
      <c r="A136" s="540" t="s">
        <v>155</v>
      </c>
      <c r="B136" s="533"/>
      <c r="C136" s="587"/>
      <c r="D136" s="587"/>
      <c r="E136" s="189"/>
      <c r="H136" s="43"/>
      <c r="I136" s="37"/>
      <c r="J136" s="37"/>
      <c r="K136" s="37"/>
    </row>
    <row r="137" spans="1:12" ht="48.75" customHeight="1" x14ac:dyDescent="0.25">
      <c r="A137" s="540" t="s">
        <v>156</v>
      </c>
      <c r="B137" s="534"/>
      <c r="C137" s="587"/>
      <c r="D137" s="587"/>
      <c r="E137" s="189"/>
      <c r="H137" s="43"/>
      <c r="I137" s="37"/>
      <c r="J137" s="37"/>
      <c r="K137" s="37"/>
    </row>
    <row r="138" spans="1:12" ht="48.75" customHeight="1" x14ac:dyDescent="0.25">
      <c r="A138" s="540" t="s">
        <v>157</v>
      </c>
      <c r="B138" s="533"/>
      <c r="C138" s="587"/>
      <c r="D138" s="587"/>
      <c r="E138" s="189"/>
      <c r="H138" s="43"/>
      <c r="I138" s="37"/>
      <c r="J138" s="37"/>
      <c r="K138" s="37"/>
    </row>
    <row r="139" spans="1:12" ht="15" x14ac:dyDescent="0.2">
      <c r="A139" s="540" t="s">
        <v>158</v>
      </c>
      <c r="B139" s="81">
        <f>'5b. sz. tábla  (2)'!B5</f>
        <v>535229687</v>
      </c>
      <c r="C139" s="81">
        <f>'5b. sz. tábla  (2)'!C5</f>
        <v>504134916</v>
      </c>
      <c r="D139" s="81">
        <f>'5b. sz. tábla  (2)'!D5</f>
        <v>509783666</v>
      </c>
      <c r="E139" s="684">
        <f t="shared" ref="E139" si="7">D139-C139</f>
        <v>5648750</v>
      </c>
      <c r="H139" s="49"/>
      <c r="I139" s="48"/>
      <c r="J139" s="48"/>
      <c r="K139" s="48"/>
    </row>
    <row r="140" spans="1:12" ht="30" x14ac:dyDescent="0.2">
      <c r="A140" s="540" t="s">
        <v>159</v>
      </c>
      <c r="B140" s="533"/>
      <c r="C140" s="588"/>
      <c r="D140" s="588"/>
      <c r="E140" s="684"/>
      <c r="H140" s="49"/>
      <c r="I140" s="48"/>
      <c r="J140" s="48"/>
      <c r="K140" s="48"/>
    </row>
    <row r="141" spans="1:12" ht="48.75" customHeight="1" x14ac:dyDescent="0.2">
      <c r="A141" s="540" t="s">
        <v>372</v>
      </c>
      <c r="B141" s="81">
        <f>SUM(B142:B142)</f>
        <v>0</v>
      </c>
      <c r="C141" s="81">
        <f>SUM(C142:C143)</f>
        <v>0</v>
      </c>
      <c r="D141" s="81">
        <f>SUM(D142:D143)</f>
        <v>0</v>
      </c>
      <c r="E141" s="684">
        <f>SUM(E142:E143)</f>
        <v>0</v>
      </c>
      <c r="F141" s="40"/>
      <c r="H141" s="49"/>
      <c r="I141" s="48"/>
      <c r="J141" s="48"/>
      <c r="K141" s="48"/>
    </row>
    <row r="142" spans="1:12" ht="19.5" customHeight="1" x14ac:dyDescent="0.2">
      <c r="A142" s="509" t="s">
        <v>613</v>
      </c>
      <c r="B142" s="533">
        <v>0</v>
      </c>
      <c r="C142" s="588">
        <v>0</v>
      </c>
      <c r="D142" s="588">
        <v>0</v>
      </c>
      <c r="E142" s="684">
        <f>D142-B142</f>
        <v>0</v>
      </c>
      <c r="F142" s="40"/>
      <c r="H142" s="49"/>
      <c r="I142" s="48"/>
      <c r="J142" s="48"/>
      <c r="K142" s="48"/>
    </row>
    <row r="143" spans="1:12" ht="30" x14ac:dyDescent="0.2">
      <c r="A143" s="509" t="s">
        <v>638</v>
      </c>
      <c r="B143" s="533">
        <v>0</v>
      </c>
      <c r="C143" s="588">
        <v>0</v>
      </c>
      <c r="D143" s="588">
        <v>0</v>
      </c>
      <c r="E143" s="684">
        <f>D143-B143</f>
        <v>0</v>
      </c>
      <c r="F143" s="40"/>
      <c r="H143" s="49"/>
      <c r="I143" s="48"/>
      <c r="J143" s="48"/>
      <c r="K143" s="48"/>
    </row>
    <row r="144" spans="1:12" ht="15" x14ac:dyDescent="0.2">
      <c r="A144" s="540" t="s">
        <v>160</v>
      </c>
      <c r="B144" s="81">
        <f>'5b. sz. tábla  (2)'!B13</f>
        <v>813396694</v>
      </c>
      <c r="C144" s="81">
        <f>'5b. sz. tábla  (2)'!C13</f>
        <v>710109673</v>
      </c>
      <c r="D144" s="81">
        <f>'5b. sz. tábla  (2)'!D13</f>
        <v>712189503</v>
      </c>
      <c r="E144" s="684">
        <f t="shared" ref="E144" si="8">D144-C144</f>
        <v>2079830</v>
      </c>
      <c r="H144" s="49"/>
      <c r="I144" s="48"/>
      <c r="J144" s="48"/>
      <c r="K144" s="48"/>
    </row>
    <row r="145" spans="1:12" ht="15" x14ac:dyDescent="0.2">
      <c r="A145" s="540"/>
      <c r="B145" s="533"/>
      <c r="C145" s="592"/>
      <c r="D145" s="592"/>
      <c r="E145" s="685"/>
      <c r="H145" s="49"/>
      <c r="I145" s="48"/>
      <c r="J145" s="48"/>
      <c r="K145" s="48"/>
    </row>
    <row r="146" spans="1:12" s="1" customFormat="1" ht="16.5" thickBot="1" x14ac:dyDescent="0.3">
      <c r="A146" s="541" t="s">
        <v>161</v>
      </c>
      <c r="B146" s="542">
        <f>B46+B61+B75+B124+B134</f>
        <v>2646223479</v>
      </c>
      <c r="C146" s="542">
        <f>C46+C61+C75+C124+C134</f>
        <v>2580200511</v>
      </c>
      <c r="D146" s="542">
        <f>D46+D61+D75+D124+D134</f>
        <v>2517832654</v>
      </c>
      <c r="E146" s="686">
        <f>D146-C146</f>
        <v>-62367857</v>
      </c>
      <c r="F146" s="2"/>
      <c r="H146" s="45"/>
      <c r="I146" s="46"/>
      <c r="J146" s="46"/>
      <c r="K146" s="46"/>
    </row>
    <row r="147" spans="1:12" x14ac:dyDescent="0.2">
      <c r="L147" s="1"/>
    </row>
  </sheetData>
  <sheetProtection selectLockedCells="1" selectUnlockedCells="1"/>
  <mergeCells count="1">
    <mergeCell ref="A3:E3"/>
  </mergeCells>
  <pageMargins left="0.74791666666666667" right="0.74791666666666667" top="0.98402777777777772" bottom="0.98402777777777772" header="0.51180555555555551" footer="0.51180555555555551"/>
  <pageSetup paperSize="9" scale="56" firstPageNumber="0" orientation="portrait" r:id="rId1"/>
  <headerFooter alignWithMargins="0">
    <oddHeader xml:space="preserve">&amp;C
5. melléklet 
 az önkormányzat 2020. évi költségvetéséről szóló 6/2019. (III.06.) önkormányzati rendelethez
a 42/2020. (XII.21.) önkormányzati rendelet módosítással egységes szerkezetbe foglalva
&amp;R&amp;P. oldal
</oddHeader>
  </headerFooter>
  <rowBreaks count="3" manualBreakCount="3">
    <brk id="43" max="4" man="1"/>
    <brk id="73" max="3" man="1"/>
    <brk id="103"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F82"/>
  <sheetViews>
    <sheetView view="pageLayout" topLeftCell="A48" zoomScaleNormal="100" zoomScaleSheetLayoutView="80" workbookViewId="0">
      <selection activeCell="D64" sqref="D64"/>
    </sheetView>
  </sheetViews>
  <sheetFormatPr defaultColWidth="9.140625" defaultRowHeight="15.75" customHeight="1" x14ac:dyDescent="0.2"/>
  <cols>
    <col min="1" max="1" width="56.7109375" style="234" customWidth="1"/>
    <col min="2" max="2" width="16.140625" style="238" customWidth="1"/>
    <col min="3" max="5" width="16.28515625" style="238" customWidth="1"/>
    <col min="6" max="7" width="13.7109375" style="51" customWidth="1"/>
    <col min="8" max="8" width="10.28515625" style="51" customWidth="1"/>
    <col min="9" max="9" width="16.85546875" style="51" customWidth="1"/>
    <col min="10" max="10" width="15.7109375" style="51" customWidth="1"/>
    <col min="11" max="11" width="11.28515625" style="51" customWidth="1"/>
    <col min="12" max="12" width="11" style="51" customWidth="1"/>
    <col min="13" max="13" width="13.7109375" style="51" customWidth="1"/>
    <col min="14" max="14" width="16.28515625" style="51" customWidth="1"/>
    <col min="15" max="15" width="14.28515625" style="51" customWidth="1"/>
    <col min="16" max="16" width="13" style="51" customWidth="1"/>
    <col min="17" max="17" width="14.140625" style="51" customWidth="1"/>
    <col min="18" max="18" width="13.28515625" style="51" customWidth="1"/>
    <col min="19" max="16384" width="9.140625" style="51"/>
  </cols>
  <sheetData>
    <row r="2" spans="1:6" ht="15.75" customHeight="1" x14ac:dyDescent="0.25">
      <c r="A2" s="1994" t="s">
        <v>664</v>
      </c>
      <c r="B2" s="1994"/>
      <c r="C2" s="1994"/>
      <c r="D2" s="1994"/>
      <c r="E2" s="1994"/>
    </row>
    <row r="3" spans="1:6" ht="15.75" customHeight="1" thickBot="1" x14ac:dyDescent="0.3">
      <c r="A3" s="405"/>
      <c r="B3" s="405"/>
      <c r="C3" s="1385"/>
      <c r="D3" s="1457"/>
      <c r="E3" s="581"/>
    </row>
    <row r="4" spans="1:6" s="5" customFormat="1" ht="63.75" customHeight="1" thickBot="1" x14ac:dyDescent="0.25">
      <c r="A4" s="517" t="s">
        <v>302</v>
      </c>
      <c r="B4" s="1294" t="s">
        <v>660</v>
      </c>
      <c r="C4" s="390" t="s">
        <v>1021</v>
      </c>
      <c r="D4" s="390" t="s">
        <v>1111</v>
      </c>
      <c r="E4" s="391" t="s">
        <v>987</v>
      </c>
    </row>
    <row r="5" spans="1:6" s="5" customFormat="1" ht="18" customHeight="1" x14ac:dyDescent="0.25">
      <c r="A5" s="514" t="s">
        <v>247</v>
      </c>
      <c r="B5" s="515">
        <f>SUM(B6:B11)</f>
        <v>535229687</v>
      </c>
      <c r="C5" s="515">
        <f>SUM(C6:C12)</f>
        <v>504134916</v>
      </c>
      <c r="D5" s="515">
        <f>SUM(D6:D12)</f>
        <v>509783666</v>
      </c>
      <c r="E5" s="516">
        <f>D5-C5</f>
        <v>5648750</v>
      </c>
      <c r="F5" s="6"/>
    </row>
    <row r="6" spans="1:6" s="5" customFormat="1" ht="18" customHeight="1" x14ac:dyDescent="0.2">
      <c r="A6" s="509" t="s">
        <v>162</v>
      </c>
      <c r="B6" s="507"/>
      <c r="C6" s="593"/>
      <c r="D6" s="593"/>
      <c r="E6" s="1306">
        <f>D6-C6</f>
        <v>0</v>
      </c>
    </row>
    <row r="7" spans="1:6" s="5" customFormat="1" ht="17.45" customHeight="1" x14ac:dyDescent="0.2">
      <c r="A7" s="510" t="s">
        <v>163</v>
      </c>
      <c r="B7" s="497"/>
      <c r="C7" s="594">
        <v>600754</v>
      </c>
      <c r="D7" s="594">
        <v>600754</v>
      </c>
      <c r="E7" s="1306">
        <f t="shared" ref="E7:E12" si="0">D7-C7</f>
        <v>0</v>
      </c>
    </row>
    <row r="8" spans="1:6" s="5" customFormat="1" ht="15.75" customHeight="1" x14ac:dyDescent="0.2">
      <c r="A8" s="510" t="s">
        <v>373</v>
      </c>
      <c r="B8" s="497">
        <v>1350000</v>
      </c>
      <c r="C8" s="594">
        <v>1350000</v>
      </c>
      <c r="D8" s="594">
        <v>1350000</v>
      </c>
      <c r="E8" s="1306">
        <f t="shared" si="0"/>
        <v>0</v>
      </c>
    </row>
    <row r="9" spans="1:6" s="5" customFormat="1" ht="18" customHeight="1" x14ac:dyDescent="0.2">
      <c r="A9" s="511" t="s">
        <v>164</v>
      </c>
      <c r="B9" s="497">
        <v>165514555</v>
      </c>
      <c r="C9" s="594">
        <v>146683774</v>
      </c>
      <c r="D9" s="594">
        <v>153166569</v>
      </c>
      <c r="E9" s="1306">
        <f t="shared" si="0"/>
        <v>6482795</v>
      </c>
    </row>
    <row r="10" spans="1:6" s="5" customFormat="1" ht="18" customHeight="1" x14ac:dyDescent="0.2">
      <c r="A10" s="511" t="s">
        <v>172</v>
      </c>
      <c r="B10" s="497">
        <v>368365132</v>
      </c>
      <c r="C10" s="594">
        <v>354238788</v>
      </c>
      <c r="D10" s="594">
        <v>353404743</v>
      </c>
      <c r="E10" s="1306">
        <f t="shared" si="0"/>
        <v>-834045</v>
      </c>
    </row>
    <row r="11" spans="1:6" s="5" customFormat="1" ht="30" x14ac:dyDescent="0.2">
      <c r="A11" s="511" t="s">
        <v>1000</v>
      </c>
      <c r="B11" s="497"/>
      <c r="C11" s="594">
        <v>100000</v>
      </c>
      <c r="D11" s="594">
        <v>100000</v>
      </c>
      <c r="E11" s="1306">
        <f t="shared" si="0"/>
        <v>0</v>
      </c>
    </row>
    <row r="12" spans="1:6" s="5" customFormat="1" ht="30" x14ac:dyDescent="0.2">
      <c r="A12" s="511" t="s">
        <v>599</v>
      </c>
      <c r="B12" s="497"/>
      <c r="C12" s="594">
        <v>1161600</v>
      </c>
      <c r="D12" s="594">
        <v>1161600</v>
      </c>
      <c r="E12" s="1306">
        <f t="shared" si="0"/>
        <v>0</v>
      </c>
    </row>
    <row r="13" spans="1:6" s="5" customFormat="1" ht="17.45" customHeight="1" x14ac:dyDescent="0.25">
      <c r="A13" s="508" t="s">
        <v>248</v>
      </c>
      <c r="B13" s="80">
        <f>SUM(B14:B77)</f>
        <v>813396694</v>
      </c>
      <c r="C13" s="80">
        <f>SUM(C14:C79)</f>
        <v>710109673</v>
      </c>
      <c r="D13" s="80">
        <f>SUM(D14:D79)</f>
        <v>712189503</v>
      </c>
      <c r="E13" s="516">
        <f>D13-C13</f>
        <v>2079830</v>
      </c>
      <c r="F13" s="6"/>
    </row>
    <row r="14" spans="1:6" ht="16.5" customHeight="1" x14ac:dyDescent="0.2">
      <c r="A14" s="510" t="s">
        <v>173</v>
      </c>
      <c r="B14" s="594">
        <v>0</v>
      </c>
      <c r="C14" s="497">
        <v>0</v>
      </c>
      <c r="D14" s="497">
        <v>0</v>
      </c>
      <c r="E14" s="1306">
        <f>D14-C14</f>
        <v>0</v>
      </c>
    </row>
    <row r="15" spans="1:6" ht="16.5" customHeight="1" x14ac:dyDescent="0.2">
      <c r="A15" s="510" t="s">
        <v>174</v>
      </c>
      <c r="B15" s="594">
        <v>1000000</v>
      </c>
      <c r="C15" s="497">
        <v>1300000</v>
      </c>
      <c r="D15" s="497">
        <v>1300000</v>
      </c>
      <c r="E15" s="1306">
        <f t="shared" ref="E15:E47" si="1">D15-C15</f>
        <v>0</v>
      </c>
    </row>
    <row r="16" spans="1:6" ht="16.5" customHeight="1" x14ac:dyDescent="0.2">
      <c r="A16" s="510" t="s">
        <v>175</v>
      </c>
      <c r="B16" s="594">
        <v>1000000</v>
      </c>
      <c r="C16" s="497">
        <v>1000000</v>
      </c>
      <c r="D16" s="497">
        <v>1000000</v>
      </c>
      <c r="E16" s="1306">
        <f t="shared" si="1"/>
        <v>0</v>
      </c>
    </row>
    <row r="17" spans="1:5" ht="16.5" customHeight="1" x14ac:dyDescent="0.2">
      <c r="A17" s="512" t="s">
        <v>769</v>
      </c>
      <c r="B17" s="594">
        <v>50733900</v>
      </c>
      <c r="C17" s="497">
        <v>50733900</v>
      </c>
      <c r="D17" s="497">
        <v>50733900</v>
      </c>
      <c r="E17" s="1306">
        <f t="shared" si="1"/>
        <v>0</v>
      </c>
    </row>
    <row r="18" spans="1:5" ht="16.5" customHeight="1" x14ac:dyDescent="0.2">
      <c r="A18" s="510" t="s">
        <v>176</v>
      </c>
      <c r="B18" s="594">
        <v>1400000</v>
      </c>
      <c r="C18" s="497">
        <v>1400000</v>
      </c>
      <c r="D18" s="497">
        <v>1400000</v>
      </c>
      <c r="E18" s="1306">
        <f t="shared" si="1"/>
        <v>0</v>
      </c>
    </row>
    <row r="19" spans="1:5" ht="16.5" customHeight="1" x14ac:dyDescent="0.2">
      <c r="A19" s="509" t="s">
        <v>177</v>
      </c>
      <c r="B19" s="594">
        <v>2500000</v>
      </c>
      <c r="C19" s="497">
        <v>2500000</v>
      </c>
      <c r="D19" s="497">
        <v>2500000</v>
      </c>
      <c r="E19" s="1306">
        <f t="shared" si="1"/>
        <v>0</v>
      </c>
    </row>
    <row r="20" spans="1:5" ht="16.5" customHeight="1" x14ac:dyDescent="0.2">
      <c r="A20" s="510" t="s">
        <v>178</v>
      </c>
      <c r="B20" s="594">
        <v>200000</v>
      </c>
      <c r="C20" s="497">
        <v>200000</v>
      </c>
      <c r="D20" s="497">
        <v>200000</v>
      </c>
      <c r="E20" s="1306">
        <f t="shared" si="1"/>
        <v>0</v>
      </c>
    </row>
    <row r="21" spans="1:5" ht="16.5" customHeight="1" x14ac:dyDescent="0.2">
      <c r="A21" s="510" t="s">
        <v>179</v>
      </c>
      <c r="B21" s="594">
        <v>200000</v>
      </c>
      <c r="C21" s="497">
        <v>200000</v>
      </c>
      <c r="D21" s="497">
        <v>200000</v>
      </c>
      <c r="E21" s="1306">
        <f t="shared" si="1"/>
        <v>0</v>
      </c>
    </row>
    <row r="22" spans="1:5" ht="16.5" customHeight="1" x14ac:dyDescent="0.2">
      <c r="A22" s="510" t="s">
        <v>180</v>
      </c>
      <c r="B22" s="594">
        <v>400000</v>
      </c>
      <c r="C22" s="497">
        <v>400000</v>
      </c>
      <c r="D22" s="497">
        <v>400000</v>
      </c>
      <c r="E22" s="1306">
        <f t="shared" si="1"/>
        <v>0</v>
      </c>
    </row>
    <row r="23" spans="1:5" ht="16.5" customHeight="1" x14ac:dyDescent="0.2">
      <c r="A23" s="510" t="s">
        <v>181</v>
      </c>
      <c r="B23" s="594">
        <v>2000000</v>
      </c>
      <c r="C23" s="497">
        <v>2000000</v>
      </c>
      <c r="D23" s="497">
        <v>2000000</v>
      </c>
      <c r="E23" s="1306">
        <f t="shared" si="1"/>
        <v>0</v>
      </c>
    </row>
    <row r="24" spans="1:5" ht="16.5" customHeight="1" x14ac:dyDescent="0.2">
      <c r="A24" s="510" t="s">
        <v>182</v>
      </c>
      <c r="B24" s="594">
        <v>2100000</v>
      </c>
      <c r="C24" s="497">
        <v>2100000</v>
      </c>
      <c r="D24" s="497">
        <v>2100000</v>
      </c>
      <c r="E24" s="1306">
        <f t="shared" si="1"/>
        <v>0</v>
      </c>
    </row>
    <row r="25" spans="1:5" ht="16.5" customHeight="1" x14ac:dyDescent="0.2">
      <c r="A25" s="510" t="s">
        <v>595</v>
      </c>
      <c r="B25" s="594">
        <v>82200000</v>
      </c>
      <c r="C25" s="497">
        <v>70507500</v>
      </c>
      <c r="D25" s="497">
        <v>62272500</v>
      </c>
      <c r="E25" s="1306">
        <f t="shared" si="1"/>
        <v>-8235000</v>
      </c>
    </row>
    <row r="26" spans="1:5" ht="16.5" customHeight="1" x14ac:dyDescent="0.2">
      <c r="A26" s="510" t="s">
        <v>597</v>
      </c>
      <c r="B26" s="594">
        <v>0</v>
      </c>
      <c r="C26" s="497">
        <v>0</v>
      </c>
      <c r="D26" s="497">
        <v>0</v>
      </c>
      <c r="E26" s="1306">
        <f t="shared" si="1"/>
        <v>0</v>
      </c>
    </row>
    <row r="27" spans="1:5" ht="16.5" customHeight="1" x14ac:dyDescent="0.2">
      <c r="A27" s="510" t="s">
        <v>183</v>
      </c>
      <c r="B27" s="594">
        <v>600000</v>
      </c>
      <c r="C27" s="497">
        <v>600000</v>
      </c>
      <c r="D27" s="497">
        <v>600000</v>
      </c>
      <c r="E27" s="1306">
        <f t="shared" si="1"/>
        <v>0</v>
      </c>
    </row>
    <row r="28" spans="1:5" ht="15" customHeight="1" x14ac:dyDescent="0.2">
      <c r="A28" s="510" t="s">
        <v>184</v>
      </c>
      <c r="B28" s="594">
        <v>484000</v>
      </c>
      <c r="C28" s="497">
        <v>484000</v>
      </c>
      <c r="D28" s="497">
        <v>484000</v>
      </c>
      <c r="E28" s="1306">
        <f t="shared" si="1"/>
        <v>0</v>
      </c>
    </row>
    <row r="29" spans="1:5" ht="15" customHeight="1" x14ac:dyDescent="0.2">
      <c r="A29" s="510" t="s">
        <v>185</v>
      </c>
      <c r="B29" s="594">
        <v>326000</v>
      </c>
      <c r="C29" s="497">
        <v>326000</v>
      </c>
      <c r="D29" s="497">
        <v>326000</v>
      </c>
      <c r="E29" s="1306">
        <f t="shared" si="1"/>
        <v>0</v>
      </c>
    </row>
    <row r="30" spans="1:5" ht="15" customHeight="1" x14ac:dyDescent="0.2">
      <c r="A30" s="510" t="s">
        <v>186</v>
      </c>
      <c r="B30" s="594">
        <v>492000</v>
      </c>
      <c r="C30" s="497">
        <v>492000</v>
      </c>
      <c r="D30" s="497">
        <v>492000</v>
      </c>
      <c r="E30" s="1306">
        <f t="shared" si="1"/>
        <v>0</v>
      </c>
    </row>
    <row r="31" spans="1:5" ht="15" customHeight="1" x14ac:dyDescent="0.2">
      <c r="A31" s="510" t="s">
        <v>187</v>
      </c>
      <c r="B31" s="594">
        <v>1444000</v>
      </c>
      <c r="C31" s="497">
        <v>1444000</v>
      </c>
      <c r="D31" s="497">
        <v>1444000</v>
      </c>
      <c r="E31" s="1306">
        <f t="shared" si="1"/>
        <v>0</v>
      </c>
    </row>
    <row r="32" spans="1:5" ht="16.5" customHeight="1" x14ac:dyDescent="0.2">
      <c r="A32" s="510" t="s">
        <v>981</v>
      </c>
      <c r="B32" s="594">
        <v>4757798</v>
      </c>
      <c r="C32" s="497">
        <v>2757798</v>
      </c>
      <c r="D32" s="497">
        <v>2697798</v>
      </c>
      <c r="E32" s="1306">
        <f t="shared" si="1"/>
        <v>-60000</v>
      </c>
    </row>
    <row r="33" spans="1:5" ht="16.5" customHeight="1" x14ac:dyDescent="0.2">
      <c r="A33" s="510" t="s">
        <v>188</v>
      </c>
      <c r="B33" s="594">
        <v>400000</v>
      </c>
      <c r="C33" s="497">
        <v>400000</v>
      </c>
      <c r="D33" s="497">
        <v>400000</v>
      </c>
      <c r="E33" s="1306">
        <f t="shared" si="1"/>
        <v>0</v>
      </c>
    </row>
    <row r="34" spans="1:5" ht="16.5" customHeight="1" x14ac:dyDescent="0.2">
      <c r="A34" s="510" t="s">
        <v>189</v>
      </c>
      <c r="B34" s="594">
        <v>425000</v>
      </c>
      <c r="C34" s="497">
        <v>425000</v>
      </c>
      <c r="D34" s="497">
        <v>255000</v>
      </c>
      <c r="E34" s="1306">
        <f t="shared" si="1"/>
        <v>-170000</v>
      </c>
    </row>
    <row r="35" spans="1:5" ht="16.5" customHeight="1" x14ac:dyDescent="0.2">
      <c r="A35" s="510" t="s">
        <v>190</v>
      </c>
      <c r="B35" s="594">
        <v>1275000</v>
      </c>
      <c r="C35" s="497">
        <v>1275000</v>
      </c>
      <c r="D35" s="497">
        <v>610095</v>
      </c>
      <c r="E35" s="1306">
        <f t="shared" si="1"/>
        <v>-664905</v>
      </c>
    </row>
    <row r="36" spans="1:5" ht="30" x14ac:dyDescent="0.2">
      <c r="A36" s="510" t="s">
        <v>191</v>
      </c>
      <c r="B36" s="594">
        <v>750000</v>
      </c>
      <c r="C36" s="497">
        <v>750000</v>
      </c>
      <c r="D36" s="497">
        <v>562500</v>
      </c>
      <c r="E36" s="1306">
        <f t="shared" si="1"/>
        <v>-187500</v>
      </c>
    </row>
    <row r="37" spans="1:5" ht="15" x14ac:dyDescent="0.2">
      <c r="A37" s="510" t="s">
        <v>1147</v>
      </c>
      <c r="B37" s="594"/>
      <c r="C37" s="497"/>
      <c r="D37" s="497">
        <v>412242</v>
      </c>
      <c r="E37" s="1306">
        <f t="shared" si="1"/>
        <v>412242</v>
      </c>
    </row>
    <row r="38" spans="1:5" ht="30" x14ac:dyDescent="0.2">
      <c r="A38" s="510" t="s">
        <v>192</v>
      </c>
      <c r="B38" s="594">
        <v>3500000</v>
      </c>
      <c r="C38" s="497">
        <v>3500000</v>
      </c>
      <c r="D38" s="497">
        <v>3500000</v>
      </c>
      <c r="E38" s="1306">
        <f t="shared" si="1"/>
        <v>0</v>
      </c>
    </row>
    <row r="39" spans="1:5" ht="29.25" customHeight="1" x14ac:dyDescent="0.2">
      <c r="A39" s="510" t="s">
        <v>165</v>
      </c>
      <c r="B39" s="594">
        <v>500000</v>
      </c>
      <c r="C39" s="497">
        <v>500000</v>
      </c>
      <c r="D39" s="497">
        <v>500000</v>
      </c>
      <c r="E39" s="1306">
        <f t="shared" si="1"/>
        <v>0</v>
      </c>
    </row>
    <row r="40" spans="1:5" ht="30" x14ac:dyDescent="0.2">
      <c r="A40" s="510" t="s">
        <v>971</v>
      </c>
      <c r="B40" s="594">
        <v>36750000</v>
      </c>
      <c r="C40" s="497">
        <v>32750000</v>
      </c>
      <c r="D40" s="497">
        <v>32750000</v>
      </c>
      <c r="E40" s="1306">
        <f t="shared" si="1"/>
        <v>0</v>
      </c>
    </row>
    <row r="41" spans="1:5" ht="16.5" customHeight="1" x14ac:dyDescent="0.2">
      <c r="A41" s="503" t="s">
        <v>211</v>
      </c>
      <c r="B41" s="594"/>
      <c r="C41" s="497"/>
      <c r="D41" s="497"/>
      <c r="E41" s="1306">
        <f t="shared" si="1"/>
        <v>0</v>
      </c>
    </row>
    <row r="42" spans="1:5" ht="30" x14ac:dyDescent="0.2">
      <c r="A42" s="510" t="s">
        <v>701</v>
      </c>
      <c r="B42" s="594">
        <v>900000</v>
      </c>
      <c r="C42" s="497">
        <v>100000</v>
      </c>
      <c r="D42" s="497">
        <v>100000</v>
      </c>
      <c r="E42" s="1306">
        <f t="shared" si="1"/>
        <v>0</v>
      </c>
    </row>
    <row r="43" spans="1:5" ht="21.2" customHeight="1" x14ac:dyDescent="0.2">
      <c r="A43" s="510" t="s">
        <v>193</v>
      </c>
      <c r="B43" s="594">
        <v>600000</v>
      </c>
      <c r="C43" s="497">
        <v>600000</v>
      </c>
      <c r="D43" s="497">
        <v>600000</v>
      </c>
      <c r="E43" s="1306">
        <f t="shared" si="1"/>
        <v>0</v>
      </c>
    </row>
    <row r="44" spans="1:5" ht="21.2" customHeight="1" x14ac:dyDescent="0.2">
      <c r="A44" s="510" t="s">
        <v>686</v>
      </c>
      <c r="B44" s="594">
        <v>500000</v>
      </c>
      <c r="C44" s="497">
        <v>500000</v>
      </c>
      <c r="D44" s="497">
        <v>0</v>
      </c>
      <c r="E44" s="1306">
        <f t="shared" si="1"/>
        <v>-500000</v>
      </c>
    </row>
    <row r="45" spans="1:5" ht="21.2" customHeight="1" x14ac:dyDescent="0.2">
      <c r="A45" s="510" t="s">
        <v>1148</v>
      </c>
      <c r="B45" s="594"/>
      <c r="C45" s="497"/>
      <c r="D45" s="497">
        <v>60000</v>
      </c>
      <c r="E45" s="1306">
        <f t="shared" si="1"/>
        <v>60000</v>
      </c>
    </row>
    <row r="46" spans="1:5" ht="30" x14ac:dyDescent="0.2">
      <c r="A46" s="510" t="s">
        <v>702</v>
      </c>
      <c r="B46" s="594">
        <v>645000</v>
      </c>
      <c r="C46" s="497">
        <v>245000</v>
      </c>
      <c r="D46" s="497">
        <v>245000</v>
      </c>
      <c r="E46" s="1306">
        <f t="shared" si="1"/>
        <v>0</v>
      </c>
    </row>
    <row r="47" spans="1:5" ht="30.75" thickBot="1" x14ac:dyDescent="0.25">
      <c r="A47" s="513" t="s">
        <v>194</v>
      </c>
      <c r="B47" s="1307">
        <v>1810140</v>
      </c>
      <c r="C47" s="1394">
        <v>1810140</v>
      </c>
      <c r="D47" s="1394">
        <v>1810140</v>
      </c>
      <c r="E47" s="1513">
        <f t="shared" si="1"/>
        <v>0</v>
      </c>
    </row>
    <row r="48" spans="1:5" ht="17.45" customHeight="1" x14ac:dyDescent="0.25">
      <c r="A48" s="1994" t="s">
        <v>664</v>
      </c>
      <c r="B48" s="1994"/>
      <c r="C48" s="1994"/>
      <c r="D48" s="1994"/>
      <c r="E48" s="1994"/>
    </row>
    <row r="49" spans="1:5" ht="17.45" customHeight="1" thickBot="1" x14ac:dyDescent="0.25">
      <c r="A49" s="236"/>
      <c r="B49" s="209"/>
      <c r="C49" s="209"/>
      <c r="D49" s="209"/>
      <c r="E49" s="209"/>
    </row>
    <row r="50" spans="1:5" s="5" customFormat="1" ht="63.75" customHeight="1" thickBot="1" x14ac:dyDescent="0.25">
      <c r="A50" s="179" t="s">
        <v>302</v>
      </c>
      <c r="B50" s="1294" t="s">
        <v>660</v>
      </c>
      <c r="C50" s="390" t="s">
        <v>1021</v>
      </c>
      <c r="D50" s="390" t="s">
        <v>1111</v>
      </c>
      <c r="E50" s="391" t="s">
        <v>987</v>
      </c>
    </row>
    <row r="51" spans="1:5" s="395" customFormat="1" ht="22.7" customHeight="1" x14ac:dyDescent="0.2">
      <c r="A51" s="498" t="s">
        <v>522</v>
      </c>
      <c r="B51" s="1309">
        <v>220098335</v>
      </c>
      <c r="C51" s="1395">
        <v>206825723</v>
      </c>
      <c r="D51" s="1395">
        <v>206825723</v>
      </c>
      <c r="E51" s="1308">
        <f>D51-C51</f>
        <v>0</v>
      </c>
    </row>
    <row r="52" spans="1:5" ht="29.25" customHeight="1" x14ac:dyDescent="0.2">
      <c r="A52" s="499" t="s">
        <v>195</v>
      </c>
      <c r="B52" s="594">
        <v>2000000</v>
      </c>
      <c r="C52" s="497">
        <v>2000000</v>
      </c>
      <c r="D52" s="497">
        <v>1000000</v>
      </c>
      <c r="E52" s="620">
        <f>D52-C52</f>
        <v>-1000000</v>
      </c>
    </row>
    <row r="53" spans="1:5" ht="18" customHeight="1" x14ac:dyDescent="0.2">
      <c r="A53" s="235" t="s">
        <v>313</v>
      </c>
      <c r="B53" s="594">
        <v>0</v>
      </c>
      <c r="C53" s="497">
        <v>0</v>
      </c>
      <c r="D53" s="497">
        <v>0</v>
      </c>
      <c r="E53" s="620">
        <f t="shared" ref="E53:E80" si="2">D53-C53</f>
        <v>0</v>
      </c>
    </row>
    <row r="54" spans="1:5" ht="16.5" customHeight="1" x14ac:dyDescent="0.2">
      <c r="A54" s="237" t="s">
        <v>196</v>
      </c>
      <c r="B54" s="594">
        <v>208455000</v>
      </c>
      <c r="C54" s="497">
        <v>158033091</v>
      </c>
      <c r="D54" s="497">
        <v>153429284</v>
      </c>
      <c r="E54" s="620">
        <f t="shared" si="2"/>
        <v>-4603807</v>
      </c>
    </row>
    <row r="55" spans="1:5" ht="18" customHeight="1" x14ac:dyDescent="0.2">
      <c r="A55" s="500" t="s">
        <v>197</v>
      </c>
      <c r="B55" s="594">
        <v>800000</v>
      </c>
      <c r="C55" s="497">
        <v>800000</v>
      </c>
      <c r="D55" s="497">
        <v>800000</v>
      </c>
      <c r="E55" s="620">
        <f t="shared" si="2"/>
        <v>0</v>
      </c>
    </row>
    <row r="56" spans="1:5" ht="18" customHeight="1" x14ac:dyDescent="0.2">
      <c r="A56" s="237" t="s">
        <v>206</v>
      </c>
      <c r="B56" s="594">
        <v>1000000</v>
      </c>
      <c r="C56" s="497">
        <v>1000000</v>
      </c>
      <c r="D56" s="497">
        <v>750000</v>
      </c>
      <c r="E56" s="620">
        <f t="shared" si="2"/>
        <v>-250000</v>
      </c>
    </row>
    <row r="57" spans="1:5" ht="15.75" customHeight="1" x14ac:dyDescent="0.2">
      <c r="A57" s="501" t="s">
        <v>207</v>
      </c>
      <c r="B57" s="594">
        <v>200000</v>
      </c>
      <c r="C57" s="497">
        <v>200000</v>
      </c>
      <c r="D57" s="497">
        <v>200000</v>
      </c>
      <c r="E57" s="620">
        <f t="shared" si="2"/>
        <v>0</v>
      </c>
    </row>
    <row r="58" spans="1:5" ht="15.75" customHeight="1" x14ac:dyDescent="0.2">
      <c r="A58" s="501" t="s">
        <v>685</v>
      </c>
      <c r="B58" s="594">
        <v>100000</v>
      </c>
      <c r="C58" s="497">
        <v>100000</v>
      </c>
      <c r="D58" s="497">
        <v>100000</v>
      </c>
      <c r="E58" s="620">
        <f t="shared" si="2"/>
        <v>0</v>
      </c>
    </row>
    <row r="59" spans="1:5" ht="15.75" customHeight="1" x14ac:dyDescent="0.2">
      <c r="A59" s="501" t="s">
        <v>208</v>
      </c>
      <c r="B59" s="594">
        <f>32887000+1644000</f>
        <v>34531000</v>
      </c>
      <c r="C59" s="497">
        <v>30231000</v>
      </c>
      <c r="D59" s="497">
        <v>30231000</v>
      </c>
      <c r="E59" s="620">
        <f t="shared" si="2"/>
        <v>0</v>
      </c>
    </row>
    <row r="60" spans="1:5" ht="30" x14ac:dyDescent="0.2">
      <c r="A60" s="504" t="s">
        <v>453</v>
      </c>
      <c r="B60" s="594">
        <v>1000000</v>
      </c>
      <c r="C60" s="497">
        <v>1000000</v>
      </c>
      <c r="D60" s="497">
        <v>1000000</v>
      </c>
      <c r="E60" s="620">
        <f t="shared" si="2"/>
        <v>0</v>
      </c>
    </row>
    <row r="61" spans="1:5" ht="15.75" customHeight="1" x14ac:dyDescent="0.2">
      <c r="A61" s="501" t="s">
        <v>209</v>
      </c>
      <c r="B61" s="594">
        <v>1100000</v>
      </c>
      <c r="C61" s="497">
        <v>1100000</v>
      </c>
      <c r="D61" s="497">
        <v>1100000</v>
      </c>
      <c r="E61" s="620">
        <f t="shared" si="2"/>
        <v>0</v>
      </c>
    </row>
    <row r="62" spans="1:5" ht="15.75" customHeight="1" x14ac:dyDescent="0.2">
      <c r="A62" s="502" t="s">
        <v>210</v>
      </c>
      <c r="B62" s="594">
        <v>95500000</v>
      </c>
      <c r="C62" s="497">
        <v>90000000</v>
      </c>
      <c r="D62" s="497">
        <v>90000000</v>
      </c>
      <c r="E62" s="620">
        <f t="shared" si="2"/>
        <v>0</v>
      </c>
    </row>
    <row r="63" spans="1:5" ht="30.75" customHeight="1" x14ac:dyDescent="0.2">
      <c r="A63" s="503" t="s">
        <v>687</v>
      </c>
      <c r="B63" s="594">
        <v>0</v>
      </c>
      <c r="C63" s="497">
        <v>0</v>
      </c>
      <c r="D63" s="497">
        <v>17278800</v>
      </c>
      <c r="E63" s="620">
        <f t="shared" si="2"/>
        <v>17278800</v>
      </c>
    </row>
    <row r="64" spans="1:5" ht="15.75" customHeight="1" x14ac:dyDescent="0.2">
      <c r="A64" s="504" t="s">
        <v>688</v>
      </c>
      <c r="B64" s="594">
        <v>800000</v>
      </c>
      <c r="C64" s="497">
        <v>0</v>
      </c>
      <c r="D64" s="497">
        <v>0</v>
      </c>
      <c r="E64" s="620">
        <f t="shared" si="2"/>
        <v>0</v>
      </c>
    </row>
    <row r="65" spans="1:5" ht="15.75" customHeight="1" x14ac:dyDescent="0.2">
      <c r="A65" s="504" t="s">
        <v>689</v>
      </c>
      <c r="B65" s="594">
        <v>800000</v>
      </c>
      <c r="C65" s="497">
        <v>800000</v>
      </c>
      <c r="D65" s="497">
        <v>800000</v>
      </c>
      <c r="E65" s="620">
        <f t="shared" si="2"/>
        <v>0</v>
      </c>
    </row>
    <row r="66" spans="1:5" ht="15.75" customHeight="1" x14ac:dyDescent="0.2">
      <c r="A66" s="504" t="s">
        <v>690</v>
      </c>
      <c r="B66" s="594">
        <v>1500000</v>
      </c>
      <c r="C66" s="497">
        <v>1500000</v>
      </c>
      <c r="D66" s="497">
        <v>1500000</v>
      </c>
      <c r="E66" s="620">
        <f t="shared" si="2"/>
        <v>0</v>
      </c>
    </row>
    <row r="67" spans="1:5" ht="15.75" customHeight="1" x14ac:dyDescent="0.2">
      <c r="A67" s="504" t="s">
        <v>691</v>
      </c>
      <c r="B67" s="594">
        <v>500000</v>
      </c>
      <c r="C67" s="497">
        <v>500000</v>
      </c>
      <c r="D67" s="497">
        <v>500000</v>
      </c>
      <c r="E67" s="620">
        <f t="shared" si="2"/>
        <v>0</v>
      </c>
    </row>
    <row r="68" spans="1:5" ht="15.75" customHeight="1" x14ac:dyDescent="0.2">
      <c r="A68" s="504" t="s">
        <v>3</v>
      </c>
      <c r="B68" s="594">
        <v>1000000</v>
      </c>
      <c r="C68" s="497">
        <v>1000000</v>
      </c>
      <c r="D68" s="497">
        <v>1000000</v>
      </c>
      <c r="E68" s="620">
        <f t="shared" si="2"/>
        <v>0</v>
      </c>
    </row>
    <row r="69" spans="1:5" ht="15.75" customHeight="1" x14ac:dyDescent="0.2">
      <c r="A69" s="504" t="s">
        <v>4</v>
      </c>
      <c r="B69" s="594">
        <v>1000000</v>
      </c>
      <c r="C69" s="497">
        <v>1000000</v>
      </c>
      <c r="D69" s="497">
        <v>1000000</v>
      </c>
      <c r="E69" s="620">
        <f t="shared" si="2"/>
        <v>0</v>
      </c>
    </row>
    <row r="70" spans="1:5" ht="15" x14ac:dyDescent="0.2">
      <c r="A70" s="504" t="s">
        <v>355</v>
      </c>
      <c r="B70" s="594">
        <v>510000</v>
      </c>
      <c r="C70" s="497">
        <v>510000</v>
      </c>
      <c r="D70" s="497">
        <v>510000</v>
      </c>
      <c r="E70" s="620">
        <f t="shared" si="2"/>
        <v>0</v>
      </c>
    </row>
    <row r="71" spans="1:5" ht="15" x14ac:dyDescent="0.2">
      <c r="A71" s="504" t="s">
        <v>933</v>
      </c>
      <c r="B71" s="594">
        <v>8000000</v>
      </c>
      <c r="C71" s="497">
        <v>0</v>
      </c>
      <c r="D71" s="497">
        <v>0</v>
      </c>
      <c r="E71" s="620">
        <f t="shared" si="2"/>
        <v>0</v>
      </c>
    </row>
    <row r="72" spans="1:5" ht="15.75" customHeight="1" x14ac:dyDescent="0.2">
      <c r="A72" s="504" t="s">
        <v>474</v>
      </c>
      <c r="B72" s="594">
        <v>0</v>
      </c>
      <c r="C72" s="497">
        <v>0</v>
      </c>
      <c r="D72" s="497">
        <v>0</v>
      </c>
      <c r="E72" s="620">
        <f t="shared" si="2"/>
        <v>0</v>
      </c>
    </row>
    <row r="73" spans="1:5" ht="30" x14ac:dyDescent="0.2">
      <c r="A73" s="504" t="s">
        <v>621</v>
      </c>
      <c r="B73" s="594">
        <v>6109521</v>
      </c>
      <c r="C73" s="497">
        <v>6109521</v>
      </c>
      <c r="D73" s="497">
        <v>6109521</v>
      </c>
      <c r="E73" s="620">
        <f t="shared" si="2"/>
        <v>0</v>
      </c>
    </row>
    <row r="74" spans="1:5" ht="15.75" customHeight="1" x14ac:dyDescent="0.2">
      <c r="A74" s="504" t="s">
        <v>0</v>
      </c>
      <c r="B74" s="594">
        <v>0</v>
      </c>
      <c r="C74" s="497">
        <v>0</v>
      </c>
      <c r="D74" s="497">
        <v>0</v>
      </c>
      <c r="E74" s="620">
        <f t="shared" si="2"/>
        <v>0</v>
      </c>
    </row>
    <row r="75" spans="1:5" ht="30" x14ac:dyDescent="0.2">
      <c r="A75" s="215" t="s">
        <v>605</v>
      </c>
      <c r="B75" s="1309">
        <v>1000000</v>
      </c>
      <c r="C75" s="1396">
        <v>1000000</v>
      </c>
      <c r="D75" s="1396">
        <v>1000000</v>
      </c>
      <c r="E75" s="620">
        <f t="shared" si="2"/>
        <v>0</v>
      </c>
    </row>
    <row r="76" spans="1:5" ht="30" x14ac:dyDescent="0.2">
      <c r="A76" s="571" t="s">
        <v>604</v>
      </c>
      <c r="B76" s="594"/>
      <c r="C76" s="497"/>
      <c r="D76" s="497"/>
      <c r="E76" s="620">
        <f t="shared" si="2"/>
        <v>0</v>
      </c>
    </row>
    <row r="77" spans="1:5" ht="15" x14ac:dyDescent="0.2">
      <c r="A77" s="504" t="s">
        <v>558</v>
      </c>
      <c r="B77" s="594">
        <v>27500000</v>
      </c>
      <c r="C77" s="497">
        <v>25100000</v>
      </c>
      <c r="D77" s="497">
        <v>25100000</v>
      </c>
      <c r="E77" s="620">
        <f t="shared" si="2"/>
        <v>0</v>
      </c>
    </row>
    <row r="78" spans="1:5" ht="30" x14ac:dyDescent="0.2">
      <c r="A78" s="504" t="s">
        <v>620</v>
      </c>
      <c r="B78" s="1310"/>
      <c r="C78" s="1397"/>
      <c r="D78" s="1397"/>
      <c r="E78" s="620">
        <f t="shared" si="2"/>
        <v>0</v>
      </c>
    </row>
    <row r="79" spans="1:5" ht="15" x14ac:dyDescent="0.2">
      <c r="A79" s="504" t="s">
        <v>639</v>
      </c>
      <c r="B79" s="1310"/>
      <c r="C79" s="497"/>
      <c r="D79" s="497"/>
      <c r="E79" s="620">
        <f t="shared" si="2"/>
        <v>0</v>
      </c>
    </row>
    <row r="80" spans="1:5" ht="16.5" thickBot="1" x14ac:dyDescent="0.3">
      <c r="A80" s="505" t="s">
        <v>121</v>
      </c>
      <c r="B80" s="210">
        <f>B13+B5</f>
        <v>1348626381</v>
      </c>
      <c r="C80" s="619">
        <f>C13+C5</f>
        <v>1214244589</v>
      </c>
      <c r="D80" s="619">
        <f>D13+D5</f>
        <v>1221973169</v>
      </c>
      <c r="E80" s="1514">
        <f t="shared" si="2"/>
        <v>7728580</v>
      </c>
    </row>
    <row r="81" spans="1:5" s="88" customFormat="1" ht="20.25" customHeight="1" x14ac:dyDescent="0.2">
      <c r="A81" s="506"/>
      <c r="B81" s="239"/>
      <c r="C81" s="238"/>
      <c r="D81" s="238"/>
      <c r="E81" s="238"/>
    </row>
    <row r="82" spans="1:5" ht="20.25" customHeight="1" x14ac:dyDescent="0.2"/>
  </sheetData>
  <sheetProtection selectLockedCells="1" selectUnlockedCells="1"/>
  <mergeCells count="2">
    <mergeCell ref="A2:E2"/>
    <mergeCell ref="A48:E48"/>
  </mergeCells>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&amp;C5/b melléklet 
 az önkormányzat 2020. évi költségvetéséről szóló 6/2019. (III.06.) önkormányzati rendelethez
a 42/2020. (XII.21.) önkormányzati rendelet módosítással egységes szerkezetbe foglalva&amp;R&amp;P. oldal</oddHeader>
  </headerFooter>
  <rowBreaks count="2" manualBreakCount="2">
    <brk id="47" max="4" man="1"/>
    <brk id="82"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126"/>
  <sheetViews>
    <sheetView view="pageLayout" zoomScaleNormal="100" zoomScaleSheetLayoutView="100" workbookViewId="0">
      <selection activeCell="D122" sqref="D122"/>
    </sheetView>
  </sheetViews>
  <sheetFormatPr defaultColWidth="9.140625" defaultRowHeight="12.75" x14ac:dyDescent="0.2"/>
  <cols>
    <col min="1" max="1" width="29.7109375" style="750" customWidth="1"/>
    <col min="2" max="5" width="15.28515625" style="750" customWidth="1"/>
    <col min="6" max="6" width="12.5703125" style="750" customWidth="1"/>
    <col min="7" max="7" width="13.7109375" style="750" customWidth="1"/>
    <col min="8" max="8" width="13" style="750" customWidth="1"/>
    <col min="9" max="9" width="13.85546875" style="750" customWidth="1"/>
    <col min="10" max="10" width="11.42578125" style="750" customWidth="1"/>
    <col min="11" max="11" width="12" style="750" customWidth="1"/>
    <col min="12" max="12" width="12.42578125" style="750" customWidth="1"/>
    <col min="13" max="13" width="13.140625" style="750" customWidth="1"/>
    <col min="14" max="16384" width="9.140625" style="750"/>
  </cols>
  <sheetData>
    <row r="1" spans="1:9" ht="15" customHeight="1" x14ac:dyDescent="0.25">
      <c r="A1" s="1189"/>
      <c r="B1" s="749"/>
      <c r="C1" s="749"/>
      <c r="D1" s="749"/>
      <c r="E1" s="749"/>
    </row>
    <row r="2" spans="1:9" ht="29.25" customHeight="1" x14ac:dyDescent="0.25">
      <c r="A2" s="1995" t="s">
        <v>724</v>
      </c>
      <c r="B2" s="1995"/>
      <c r="C2" s="1995"/>
      <c r="D2" s="1995"/>
      <c r="E2" s="1995"/>
    </row>
    <row r="3" spans="1:9" ht="29.25" customHeight="1" thickBot="1" x14ac:dyDescent="0.3">
      <c r="A3" s="751"/>
      <c r="B3" s="751"/>
      <c r="C3" s="751"/>
      <c r="D3" s="751"/>
      <c r="E3" s="751"/>
    </row>
    <row r="4" spans="1:9" ht="48" customHeight="1" thickBot="1" x14ac:dyDescent="0.25">
      <c r="A4" s="752" t="s">
        <v>725</v>
      </c>
      <c r="B4" s="556" t="s">
        <v>660</v>
      </c>
      <c r="C4" s="390" t="s">
        <v>1021</v>
      </c>
      <c r="D4" s="390" t="s">
        <v>1111</v>
      </c>
      <c r="E4" s="391" t="s">
        <v>987</v>
      </c>
    </row>
    <row r="5" spans="1:9" ht="15.75" x14ac:dyDescent="0.25">
      <c r="A5" s="753" t="s">
        <v>726</v>
      </c>
      <c r="B5" s="754"/>
      <c r="C5" s="755"/>
      <c r="D5" s="755"/>
      <c r="E5" s="756"/>
    </row>
    <row r="6" spans="1:9" ht="15" x14ac:dyDescent="0.2">
      <c r="A6" s="761" t="s">
        <v>727</v>
      </c>
      <c r="B6" s="762">
        <v>300000</v>
      </c>
      <c r="C6" s="758">
        <v>300000</v>
      </c>
      <c r="D6" s="758">
        <v>300000</v>
      </c>
      <c r="E6" s="759">
        <f>D6-C6</f>
        <v>0</v>
      </c>
      <c r="G6" s="760"/>
    </row>
    <row r="7" spans="1:9" ht="15" x14ac:dyDescent="0.2">
      <c r="A7" s="761" t="s">
        <v>728</v>
      </c>
      <c r="B7" s="762">
        <v>2800000</v>
      </c>
      <c r="C7" s="758">
        <v>2800000</v>
      </c>
      <c r="D7" s="758">
        <v>2800000</v>
      </c>
      <c r="E7" s="759">
        <f t="shared" ref="E7:E13" si="0">D7-C7</f>
        <v>0</v>
      </c>
      <c r="G7" s="760"/>
    </row>
    <row r="8" spans="1:9" ht="18" customHeight="1" x14ac:dyDescent="0.2">
      <c r="A8" s="761" t="s">
        <v>729</v>
      </c>
      <c r="B8" s="762">
        <v>1300000</v>
      </c>
      <c r="C8" s="758">
        <v>1300000</v>
      </c>
      <c r="D8" s="758">
        <v>1300000</v>
      </c>
      <c r="E8" s="759">
        <f t="shared" si="0"/>
        <v>0</v>
      </c>
      <c r="G8" s="760"/>
    </row>
    <row r="9" spans="1:9" ht="27.75" customHeight="1" x14ac:dyDescent="0.2">
      <c r="A9" s="746" t="s">
        <v>733</v>
      </c>
      <c r="B9" s="762">
        <v>444500</v>
      </c>
      <c r="C9" s="758">
        <v>444500</v>
      </c>
      <c r="D9" s="758">
        <v>444500</v>
      </c>
      <c r="E9" s="759">
        <f t="shared" si="0"/>
        <v>0</v>
      </c>
      <c r="G9" s="760"/>
    </row>
    <row r="10" spans="1:9" ht="18" customHeight="1" x14ac:dyDescent="0.2">
      <c r="A10" s="746" t="s">
        <v>944</v>
      </c>
      <c r="B10" s="762">
        <v>250000</v>
      </c>
      <c r="C10" s="758">
        <v>250000</v>
      </c>
      <c r="D10" s="758">
        <v>250000</v>
      </c>
      <c r="E10" s="759">
        <f t="shared" si="0"/>
        <v>0</v>
      </c>
      <c r="G10" s="760"/>
    </row>
    <row r="11" spans="1:9" ht="18" customHeight="1" x14ac:dyDescent="0.2">
      <c r="A11" s="746" t="s">
        <v>945</v>
      </c>
      <c r="B11" s="762">
        <v>2500000</v>
      </c>
      <c r="C11" s="758">
        <v>2500000</v>
      </c>
      <c r="D11" s="758">
        <v>2500000</v>
      </c>
      <c r="E11" s="759">
        <f t="shared" si="0"/>
        <v>0</v>
      </c>
      <c r="G11" s="760"/>
    </row>
    <row r="12" spans="1:9" ht="18" customHeight="1" x14ac:dyDescent="0.2">
      <c r="A12" s="746" t="s">
        <v>946</v>
      </c>
      <c r="B12" s="762">
        <v>120000</v>
      </c>
      <c r="C12" s="758">
        <v>0</v>
      </c>
      <c r="D12" s="758">
        <v>0</v>
      </c>
      <c r="E12" s="759">
        <f t="shared" si="0"/>
        <v>0</v>
      </c>
      <c r="G12" s="760"/>
    </row>
    <row r="13" spans="1:9" ht="15" x14ac:dyDescent="0.2">
      <c r="A13" s="746"/>
      <c r="B13" s="758"/>
      <c r="C13" s="762"/>
      <c r="D13" s="762"/>
      <c r="E13" s="759">
        <f t="shared" si="0"/>
        <v>0</v>
      </c>
      <c r="G13" s="760"/>
    </row>
    <row r="14" spans="1:9" s="767" customFormat="1" ht="15.75" x14ac:dyDescent="0.25">
      <c r="A14" s="763" t="s">
        <v>121</v>
      </c>
      <c r="B14" s="764">
        <f>SUM(B6:B13)</f>
        <v>7714500</v>
      </c>
      <c r="C14" s="765">
        <f>SUM(C6:C13)</f>
        <v>7594500</v>
      </c>
      <c r="D14" s="765">
        <f>SUM(D6:D13)</f>
        <v>7594500</v>
      </c>
      <c r="E14" s="766">
        <f>SUM(E6:E13)</f>
        <v>0</v>
      </c>
    </row>
    <row r="15" spans="1:9" ht="15" x14ac:dyDescent="0.2">
      <c r="A15" s="757"/>
      <c r="B15" s="758"/>
      <c r="C15" s="762"/>
      <c r="D15" s="762"/>
      <c r="E15" s="759"/>
    </row>
    <row r="16" spans="1:9" ht="31.5" x14ac:dyDescent="0.25">
      <c r="A16" s="763" t="s">
        <v>734</v>
      </c>
      <c r="B16" s="758"/>
      <c r="C16" s="762"/>
      <c r="D16" s="762"/>
      <c r="E16" s="759"/>
      <c r="I16" s="1311"/>
    </row>
    <row r="17" spans="1:7" ht="15" x14ac:dyDescent="0.2">
      <c r="A17" s="746" t="s">
        <v>730</v>
      </c>
      <c r="B17" s="762">
        <v>415000</v>
      </c>
      <c r="C17" s="758">
        <v>415000</v>
      </c>
      <c r="D17" s="758">
        <v>415000</v>
      </c>
      <c r="E17" s="759">
        <f t="shared" ref="E17:E19" si="1">D17-C17</f>
        <v>0</v>
      </c>
    </row>
    <row r="18" spans="1:7" ht="15" x14ac:dyDescent="0.2">
      <c r="A18" s="746" t="s">
        <v>731</v>
      </c>
      <c r="B18" s="762">
        <v>38100</v>
      </c>
      <c r="C18" s="758">
        <v>38100</v>
      </c>
      <c r="D18" s="758">
        <v>38100</v>
      </c>
      <c r="E18" s="759">
        <f t="shared" si="1"/>
        <v>0</v>
      </c>
    </row>
    <row r="19" spans="1:7" ht="15" x14ac:dyDescent="0.2">
      <c r="A19" s="746" t="s">
        <v>732</v>
      </c>
      <c r="B19" s="762">
        <v>381000</v>
      </c>
      <c r="C19" s="758">
        <v>381000</v>
      </c>
      <c r="D19" s="758">
        <v>381000</v>
      </c>
      <c r="E19" s="759">
        <f t="shared" si="1"/>
        <v>0</v>
      </c>
    </row>
    <row r="20" spans="1:7" s="767" customFormat="1" ht="15.75" x14ac:dyDescent="0.25">
      <c r="A20" s="763" t="s">
        <v>121</v>
      </c>
      <c r="B20" s="765">
        <f>SUM(B17:B19)</f>
        <v>834100</v>
      </c>
      <c r="C20" s="765">
        <f>SUM(C17:C19)</f>
        <v>834100</v>
      </c>
      <c r="D20" s="765">
        <f>SUM(D17:D19)</f>
        <v>834100</v>
      </c>
      <c r="E20" s="766">
        <f>SUM(E17:E19)</f>
        <v>0</v>
      </c>
    </row>
    <row r="21" spans="1:7" ht="15" x14ac:dyDescent="0.2">
      <c r="A21" s="757"/>
      <c r="B21" s="758"/>
      <c r="C21" s="762"/>
      <c r="D21" s="762"/>
      <c r="E21" s="759"/>
    </row>
    <row r="22" spans="1:7" ht="15.75" x14ac:dyDescent="0.25">
      <c r="A22" s="763" t="s">
        <v>735</v>
      </c>
      <c r="B22" s="758"/>
      <c r="C22" s="762"/>
      <c r="D22" s="762"/>
      <c r="E22" s="759"/>
    </row>
    <row r="23" spans="1:7" s="767" customFormat="1" ht="15.75" x14ac:dyDescent="0.25">
      <c r="A23" s="763" t="s">
        <v>121</v>
      </c>
      <c r="B23" s="764"/>
      <c r="C23" s="765"/>
      <c r="D23" s="765"/>
      <c r="E23" s="766">
        <f>SUM(E20:E22)</f>
        <v>0</v>
      </c>
    </row>
    <row r="24" spans="1:7" ht="15" x14ac:dyDescent="0.2">
      <c r="A24" s="757"/>
      <c r="B24" s="758"/>
      <c r="C24" s="762"/>
      <c r="D24" s="762"/>
      <c r="E24" s="759"/>
    </row>
    <row r="25" spans="1:7" ht="15.75" x14ac:dyDescent="0.25">
      <c r="A25" s="763" t="s">
        <v>736</v>
      </c>
      <c r="B25" s="758"/>
      <c r="C25" s="762"/>
      <c r="D25" s="762"/>
      <c r="E25" s="759"/>
    </row>
    <row r="26" spans="1:7" ht="28.5" x14ac:dyDescent="0.2">
      <c r="A26" s="761" t="s">
        <v>737</v>
      </c>
      <c r="B26" s="762">
        <v>2500000</v>
      </c>
      <c r="C26" s="758">
        <v>2500000</v>
      </c>
      <c r="D26" s="758">
        <v>2500000</v>
      </c>
      <c r="E26" s="759">
        <f t="shared" ref="E26:E31" si="2">D26-C26</f>
        <v>0</v>
      </c>
      <c r="G26" s="760"/>
    </row>
    <row r="27" spans="1:7" ht="15" x14ac:dyDescent="0.2">
      <c r="A27" s="761" t="s">
        <v>738</v>
      </c>
      <c r="B27" s="762">
        <v>2000000</v>
      </c>
      <c r="C27" s="758">
        <v>2000000</v>
      </c>
      <c r="D27" s="758">
        <v>2000000</v>
      </c>
      <c r="E27" s="759">
        <f t="shared" si="2"/>
        <v>0</v>
      </c>
      <c r="G27" s="760"/>
    </row>
    <row r="28" spans="1:7" ht="15" x14ac:dyDescent="0.2">
      <c r="A28" s="761" t="s">
        <v>739</v>
      </c>
      <c r="B28" s="762">
        <v>300000</v>
      </c>
      <c r="C28" s="758">
        <v>300000</v>
      </c>
      <c r="D28" s="758">
        <v>300000</v>
      </c>
      <c r="E28" s="759">
        <f t="shared" si="2"/>
        <v>0</v>
      </c>
      <c r="G28" s="760"/>
    </row>
    <row r="29" spans="1:7" ht="28.5" x14ac:dyDescent="0.2">
      <c r="A29" s="761" t="s">
        <v>737</v>
      </c>
      <c r="B29" s="762">
        <v>2000000</v>
      </c>
      <c r="C29" s="758">
        <v>0</v>
      </c>
      <c r="D29" s="758">
        <v>0</v>
      </c>
      <c r="E29" s="759">
        <f t="shared" si="2"/>
        <v>0</v>
      </c>
      <c r="G29" s="760"/>
    </row>
    <row r="30" spans="1:7" ht="28.5" x14ac:dyDescent="0.2">
      <c r="A30" s="761" t="s">
        <v>947</v>
      </c>
      <c r="B30" s="762">
        <v>2500000</v>
      </c>
      <c r="C30" s="758">
        <v>2500000</v>
      </c>
      <c r="D30" s="758">
        <v>2500000</v>
      </c>
      <c r="E30" s="759">
        <f t="shared" si="2"/>
        <v>0</v>
      </c>
      <c r="G30" s="760"/>
    </row>
    <row r="31" spans="1:7" ht="15" x14ac:dyDescent="0.2">
      <c r="A31" s="761" t="s">
        <v>948</v>
      </c>
      <c r="B31" s="762">
        <v>400000</v>
      </c>
      <c r="C31" s="758">
        <v>0</v>
      </c>
      <c r="D31" s="758">
        <v>0</v>
      </c>
      <c r="E31" s="759">
        <f t="shared" si="2"/>
        <v>0</v>
      </c>
      <c r="G31" s="760"/>
    </row>
    <row r="32" spans="1:7" s="767" customFormat="1" ht="15.75" x14ac:dyDescent="0.25">
      <c r="A32" s="763" t="s">
        <v>121</v>
      </c>
      <c r="B32" s="764">
        <f>SUM(B26:B31)</f>
        <v>9700000</v>
      </c>
      <c r="C32" s="764">
        <f>SUM(C26:C31)</f>
        <v>7300000</v>
      </c>
      <c r="D32" s="764">
        <f>SUM(D26:D31)</f>
        <v>7300000</v>
      </c>
      <c r="E32" s="766">
        <f>SUM(E26:E31)</f>
        <v>0</v>
      </c>
      <c r="G32" s="769"/>
    </row>
    <row r="33" spans="1:9" ht="15.75" thickBot="1" x14ac:dyDescent="0.25">
      <c r="A33" s="770"/>
      <c r="B33" s="771"/>
      <c r="C33" s="772"/>
      <c r="D33" s="772"/>
      <c r="E33" s="773"/>
      <c r="G33" s="760"/>
    </row>
    <row r="34" spans="1:9" ht="45.75" thickBot="1" x14ac:dyDescent="0.25">
      <c r="A34" s="774" t="s">
        <v>725</v>
      </c>
      <c r="B34" s="556" t="s">
        <v>660</v>
      </c>
      <c r="C34" s="390" t="s">
        <v>1021</v>
      </c>
      <c r="D34" s="390" t="s">
        <v>1111</v>
      </c>
      <c r="E34" s="391" t="s">
        <v>987</v>
      </c>
      <c r="F34" s="775"/>
      <c r="G34" s="776"/>
      <c r="H34" s="775"/>
      <c r="I34" s="775"/>
    </row>
    <row r="35" spans="1:9" ht="15.75" x14ac:dyDescent="0.25">
      <c r="A35" s="753" t="s">
        <v>740</v>
      </c>
      <c r="B35" s="754"/>
      <c r="C35" s="777"/>
      <c r="D35" s="777"/>
      <c r="E35" s="778"/>
      <c r="G35" s="760"/>
    </row>
    <row r="36" spans="1:9" ht="28.5" x14ac:dyDescent="0.2">
      <c r="A36" s="761" t="s">
        <v>737</v>
      </c>
      <c r="B36" s="762">
        <v>2500000</v>
      </c>
      <c r="C36" s="758">
        <v>2500000</v>
      </c>
      <c r="D36" s="758">
        <v>2500000</v>
      </c>
      <c r="E36" s="759">
        <f t="shared" ref="E36:E39" si="3">D36-C36</f>
        <v>0</v>
      </c>
      <c r="G36" s="760"/>
    </row>
    <row r="37" spans="1:9" ht="28.5" x14ac:dyDescent="0.2">
      <c r="A37" s="761" t="s">
        <v>949</v>
      </c>
      <c r="B37" s="762">
        <v>2500000</v>
      </c>
      <c r="C37" s="758">
        <v>2500000</v>
      </c>
      <c r="D37" s="758">
        <v>2500000</v>
      </c>
      <c r="E37" s="759">
        <f t="shared" si="3"/>
        <v>0</v>
      </c>
      <c r="G37" s="760"/>
    </row>
    <row r="38" spans="1:9" ht="15" x14ac:dyDescent="0.2">
      <c r="A38" s="761" t="s">
        <v>950</v>
      </c>
      <c r="B38" s="762">
        <v>1000000</v>
      </c>
      <c r="C38" s="758">
        <v>0</v>
      </c>
      <c r="D38" s="758">
        <v>0</v>
      </c>
      <c r="E38" s="759">
        <f t="shared" si="3"/>
        <v>0</v>
      </c>
      <c r="G38" s="760"/>
    </row>
    <row r="39" spans="1:9" ht="15" x14ac:dyDescent="0.2">
      <c r="A39" s="761" t="s">
        <v>1145</v>
      </c>
      <c r="B39" s="762"/>
      <c r="C39" s="762"/>
      <c r="D39" s="762">
        <v>1100000</v>
      </c>
      <c r="E39" s="759">
        <f t="shared" si="3"/>
        <v>1100000</v>
      </c>
      <c r="G39" s="760"/>
    </row>
    <row r="40" spans="1:9" s="767" customFormat="1" ht="15.75" x14ac:dyDescent="0.25">
      <c r="A40" s="763" t="s">
        <v>121</v>
      </c>
      <c r="B40" s="764">
        <f>SUM(B36:B38)</f>
        <v>6000000</v>
      </c>
      <c r="C40" s="765">
        <f>SUM(C36:C38)</f>
        <v>5000000</v>
      </c>
      <c r="D40" s="765">
        <f>SUM(D36:D39)</f>
        <v>6100000</v>
      </c>
      <c r="E40" s="766">
        <f>SUM(E36:E38)</f>
        <v>0</v>
      </c>
      <c r="G40" s="769"/>
    </row>
    <row r="41" spans="1:9" s="767" customFormat="1" ht="15.75" x14ac:dyDescent="0.25">
      <c r="A41" s="763"/>
      <c r="B41" s="779"/>
      <c r="C41" s="765"/>
      <c r="D41" s="765"/>
      <c r="E41" s="766"/>
      <c r="G41" s="769"/>
    </row>
    <row r="42" spans="1:9" ht="16.5" customHeight="1" x14ac:dyDescent="0.25">
      <c r="A42" s="763" t="s">
        <v>741</v>
      </c>
      <c r="B42" s="780"/>
      <c r="C42" s="762"/>
      <c r="D42" s="762"/>
      <c r="E42" s="759"/>
      <c r="G42" s="760"/>
    </row>
    <row r="43" spans="1:9" ht="15" x14ac:dyDescent="0.2">
      <c r="A43" s="781" t="s">
        <v>742</v>
      </c>
      <c r="B43" s="762">
        <v>2500000</v>
      </c>
      <c r="C43" s="758">
        <v>2500000</v>
      </c>
      <c r="D43" s="758">
        <v>2500000</v>
      </c>
      <c r="E43" s="759">
        <f t="shared" ref="E43:E47" si="4">D43-C43</f>
        <v>0</v>
      </c>
      <c r="G43" s="760"/>
    </row>
    <row r="44" spans="1:9" ht="28.5" x14ac:dyDescent="0.2">
      <c r="A44" s="781" t="s">
        <v>951</v>
      </c>
      <c r="B44" s="762">
        <v>900000</v>
      </c>
      <c r="C44" s="758">
        <v>900000</v>
      </c>
      <c r="D44" s="758">
        <v>900000</v>
      </c>
      <c r="E44" s="759">
        <f t="shared" si="4"/>
        <v>0</v>
      </c>
      <c r="G44" s="760"/>
    </row>
    <row r="45" spans="1:9" ht="28.5" x14ac:dyDescent="0.2">
      <c r="A45" s="781" t="s">
        <v>952</v>
      </c>
      <c r="B45" s="762">
        <v>2000000</v>
      </c>
      <c r="C45" s="758">
        <v>2000000</v>
      </c>
      <c r="D45" s="758">
        <v>2000000</v>
      </c>
      <c r="E45" s="759">
        <f t="shared" si="4"/>
        <v>0</v>
      </c>
      <c r="G45" s="760"/>
    </row>
    <row r="46" spans="1:9" ht="15" x14ac:dyDescent="0.2">
      <c r="A46" s="781" t="s">
        <v>953</v>
      </c>
      <c r="B46" s="762">
        <v>3000000</v>
      </c>
      <c r="C46" s="758">
        <v>3000000</v>
      </c>
      <c r="D46" s="758">
        <v>3000000</v>
      </c>
      <c r="E46" s="759">
        <f t="shared" si="4"/>
        <v>0</v>
      </c>
      <c r="G46" s="760"/>
    </row>
    <row r="47" spans="1:9" ht="15" x14ac:dyDescent="0.2">
      <c r="A47" s="781" t="s">
        <v>954</v>
      </c>
      <c r="B47" s="762">
        <v>1000000</v>
      </c>
      <c r="C47" s="758">
        <v>1000000</v>
      </c>
      <c r="D47" s="758">
        <v>1000000</v>
      </c>
      <c r="E47" s="759">
        <f t="shared" si="4"/>
        <v>0</v>
      </c>
      <c r="G47" s="760"/>
    </row>
    <row r="48" spans="1:9" s="767" customFormat="1" ht="15.75" x14ac:dyDescent="0.25">
      <c r="A48" s="763" t="s">
        <v>121</v>
      </c>
      <c r="B48" s="765">
        <f>SUM(B43:B47)</f>
        <v>9400000</v>
      </c>
      <c r="C48" s="765">
        <f>SUM(C43:C47)</f>
        <v>9400000</v>
      </c>
      <c r="D48" s="765">
        <f>SUM(D43:D47)</f>
        <v>9400000</v>
      </c>
      <c r="E48" s="766">
        <f>SUM(E43:E47)</f>
        <v>0</v>
      </c>
      <c r="G48" s="769"/>
    </row>
    <row r="49" spans="1:7" ht="15" x14ac:dyDescent="0.2">
      <c r="A49" s="757"/>
      <c r="B49" s="780"/>
      <c r="C49" s="762"/>
      <c r="D49" s="762"/>
      <c r="E49" s="759"/>
      <c r="G49" s="760"/>
    </row>
    <row r="50" spans="1:7" ht="15.75" x14ac:dyDescent="0.25">
      <c r="A50" s="763" t="s">
        <v>743</v>
      </c>
      <c r="B50" s="780"/>
      <c r="C50" s="762"/>
      <c r="D50" s="762"/>
      <c r="E50" s="759"/>
      <c r="G50" s="760"/>
    </row>
    <row r="51" spans="1:7" s="767" customFormat="1" ht="15.75" x14ac:dyDescent="0.25">
      <c r="A51" s="763" t="s">
        <v>121</v>
      </c>
      <c r="B51" s="764"/>
      <c r="C51" s="765"/>
      <c r="D51" s="765"/>
      <c r="E51" s="766"/>
      <c r="G51" s="769"/>
    </row>
    <row r="52" spans="1:7" s="767" customFormat="1" ht="15.75" x14ac:dyDescent="0.25">
      <c r="A52" s="763"/>
      <c r="B52" s="779"/>
      <c r="C52" s="765"/>
      <c r="D52" s="765"/>
      <c r="E52" s="766"/>
      <c r="G52" s="769"/>
    </row>
    <row r="53" spans="1:7" ht="31.5" x14ac:dyDescent="0.25">
      <c r="A53" s="763" t="s">
        <v>744</v>
      </c>
      <c r="B53" s="780"/>
      <c r="C53" s="762"/>
      <c r="D53" s="762"/>
      <c r="E53" s="759"/>
      <c r="G53" s="760"/>
    </row>
    <row r="54" spans="1:7" s="767" customFormat="1" ht="15.75" x14ac:dyDescent="0.25">
      <c r="A54" s="763" t="s">
        <v>121</v>
      </c>
      <c r="B54" s="764"/>
      <c r="C54" s="765"/>
      <c r="D54" s="765"/>
      <c r="E54" s="766"/>
      <c r="G54" s="769"/>
    </row>
    <row r="55" spans="1:7" ht="15.75" x14ac:dyDescent="0.25">
      <c r="A55" s="763"/>
      <c r="B55" s="780"/>
      <c r="C55" s="765"/>
      <c r="D55" s="765"/>
      <c r="E55" s="766"/>
      <c r="G55" s="760"/>
    </row>
    <row r="56" spans="1:7" ht="31.5" x14ac:dyDescent="0.25">
      <c r="A56" s="763" t="s">
        <v>745</v>
      </c>
      <c r="B56" s="780"/>
      <c r="C56" s="762"/>
      <c r="D56" s="762"/>
      <c r="E56" s="759"/>
      <c r="G56" s="760"/>
    </row>
    <row r="57" spans="1:7" ht="15" x14ac:dyDescent="0.2">
      <c r="A57" s="757" t="s">
        <v>955</v>
      </c>
      <c r="B57" s="1194">
        <v>500000</v>
      </c>
      <c r="C57" s="780">
        <v>0</v>
      </c>
      <c r="D57" s="780">
        <v>0</v>
      </c>
      <c r="E57" s="759">
        <f t="shared" ref="E57:E58" si="5">D57-C57</f>
        <v>0</v>
      </c>
      <c r="G57" s="760"/>
    </row>
    <row r="58" spans="1:7" ht="15" x14ac:dyDescent="0.2">
      <c r="A58" s="757" t="s">
        <v>956</v>
      </c>
      <c r="B58" s="1194">
        <v>127000</v>
      </c>
      <c r="C58" s="780">
        <v>127000</v>
      </c>
      <c r="D58" s="780">
        <v>127000</v>
      </c>
      <c r="E58" s="759">
        <f t="shared" si="5"/>
        <v>0</v>
      </c>
      <c r="G58" s="760"/>
    </row>
    <row r="59" spans="1:7" s="767" customFormat="1" ht="15.75" x14ac:dyDescent="0.25">
      <c r="A59" s="763" t="s">
        <v>121</v>
      </c>
      <c r="B59" s="764">
        <f>SUM(B57:B58)</f>
        <v>627000</v>
      </c>
      <c r="C59" s="764">
        <f>SUM(C57:C58)</f>
        <v>127000</v>
      </c>
      <c r="D59" s="764">
        <f>SUM(D57:D58)</f>
        <v>127000</v>
      </c>
      <c r="E59" s="766">
        <f>SUM(E57:E58)</f>
        <v>0</v>
      </c>
      <c r="G59" s="769"/>
    </row>
    <row r="60" spans="1:7" ht="15.75" x14ac:dyDescent="0.25">
      <c r="A60" s="763"/>
      <c r="B60" s="780"/>
      <c r="C60" s="782"/>
      <c r="D60" s="782"/>
      <c r="E60" s="783"/>
      <c r="G60" s="760"/>
    </row>
    <row r="61" spans="1:7" ht="31.5" x14ac:dyDescent="0.25">
      <c r="A61" s="763" t="s">
        <v>746</v>
      </c>
      <c r="B61" s="780"/>
      <c r="C61" s="762"/>
      <c r="D61" s="762"/>
      <c r="E61" s="759"/>
      <c r="G61" s="760"/>
    </row>
    <row r="62" spans="1:7" s="767" customFormat="1" ht="15.75" x14ac:dyDescent="0.25">
      <c r="A62" s="763" t="s">
        <v>121</v>
      </c>
      <c r="B62" s="764"/>
      <c r="C62" s="765"/>
      <c r="D62" s="765"/>
      <c r="E62" s="766"/>
      <c r="G62" s="769"/>
    </row>
    <row r="63" spans="1:7" ht="15.75" x14ac:dyDescent="0.25">
      <c r="A63" s="763"/>
      <c r="B63" s="780"/>
      <c r="C63" s="765"/>
      <c r="D63" s="765"/>
      <c r="E63" s="766"/>
      <c r="G63" s="760"/>
    </row>
    <row r="64" spans="1:7" ht="31.5" x14ac:dyDescent="0.25">
      <c r="A64" s="784" t="s">
        <v>747</v>
      </c>
      <c r="B64" s="780"/>
      <c r="C64" s="785"/>
      <c r="D64" s="785"/>
      <c r="E64" s="786"/>
      <c r="G64" s="760"/>
    </row>
    <row r="65" spans="1:7" s="767" customFormat="1" ht="15.75" x14ac:dyDescent="0.25">
      <c r="A65" s="784" t="s">
        <v>121</v>
      </c>
      <c r="B65" s="779"/>
      <c r="C65" s="787"/>
      <c r="D65" s="787"/>
      <c r="E65" s="788"/>
      <c r="G65" s="769"/>
    </row>
    <row r="66" spans="1:7" s="767" customFormat="1" ht="15.75" x14ac:dyDescent="0.25">
      <c r="A66" s="784"/>
      <c r="B66" s="779"/>
      <c r="C66" s="787"/>
      <c r="D66" s="787"/>
      <c r="E66" s="788"/>
      <c r="G66" s="769"/>
    </row>
    <row r="67" spans="1:7" ht="31.5" x14ac:dyDescent="0.25">
      <c r="A67" s="763" t="s">
        <v>748</v>
      </c>
      <c r="B67" s="780"/>
      <c r="C67" s="762"/>
      <c r="D67" s="762"/>
      <c r="E67" s="759"/>
      <c r="G67" s="760"/>
    </row>
    <row r="68" spans="1:7" s="767" customFormat="1" ht="15.75" x14ac:dyDescent="0.25">
      <c r="A68" s="763" t="s">
        <v>121</v>
      </c>
      <c r="B68" s="764"/>
      <c r="C68" s="765"/>
      <c r="D68" s="765"/>
      <c r="E68" s="766"/>
      <c r="G68" s="769"/>
    </row>
    <row r="69" spans="1:7" s="767" customFormat="1" ht="15.75" x14ac:dyDescent="0.25">
      <c r="A69" s="763"/>
      <c r="B69" s="779"/>
      <c r="C69" s="765"/>
      <c r="D69" s="765"/>
      <c r="E69" s="766"/>
      <c r="G69" s="769"/>
    </row>
    <row r="70" spans="1:7" s="767" customFormat="1" ht="31.5" x14ac:dyDescent="0.25">
      <c r="A70" s="763" t="s">
        <v>749</v>
      </c>
      <c r="B70" s="779"/>
      <c r="C70" s="765"/>
      <c r="D70" s="765"/>
      <c r="E70" s="766"/>
      <c r="G70" s="769"/>
    </row>
    <row r="71" spans="1:7" ht="16.5" thickBot="1" x14ac:dyDescent="0.3">
      <c r="A71" s="789" t="s">
        <v>750</v>
      </c>
      <c r="B71" s="790"/>
      <c r="C71" s="791"/>
      <c r="D71" s="791"/>
      <c r="E71" s="792"/>
      <c r="G71" s="760"/>
    </row>
    <row r="72" spans="1:7" ht="45.75" thickBot="1" x14ac:dyDescent="0.25">
      <c r="A72" s="752" t="s">
        <v>725</v>
      </c>
      <c r="B72" s="556" t="s">
        <v>660</v>
      </c>
      <c r="C72" s="390" t="s">
        <v>1021</v>
      </c>
      <c r="D72" s="390" t="s">
        <v>1111</v>
      </c>
      <c r="E72" s="391" t="s">
        <v>987</v>
      </c>
      <c r="G72" s="760"/>
    </row>
    <row r="73" spans="1:7" ht="15.75" x14ac:dyDescent="0.25">
      <c r="A73" s="753"/>
      <c r="B73" s="754"/>
      <c r="C73" s="777"/>
      <c r="D73" s="777"/>
      <c r="E73" s="778"/>
      <c r="G73" s="760"/>
    </row>
    <row r="74" spans="1:7" ht="31.5" x14ac:dyDescent="0.25">
      <c r="A74" s="763" t="s">
        <v>751</v>
      </c>
      <c r="B74" s="779"/>
      <c r="C74" s="765"/>
      <c r="D74" s="765"/>
      <c r="E74" s="766"/>
      <c r="G74" s="760"/>
    </row>
    <row r="75" spans="1:7" ht="30" x14ac:dyDescent="0.2">
      <c r="A75" s="757" t="s">
        <v>957</v>
      </c>
      <c r="B75" s="762">
        <v>10000000</v>
      </c>
      <c r="C75" s="762">
        <v>19057620</v>
      </c>
      <c r="D75" s="762">
        <v>19057620</v>
      </c>
      <c r="E75" s="759">
        <f t="shared" ref="E75" si="6">D75-C75</f>
        <v>0</v>
      </c>
      <c r="G75" s="760"/>
    </row>
    <row r="76" spans="1:7" s="767" customFormat="1" ht="15.75" x14ac:dyDescent="0.25">
      <c r="A76" s="763" t="s">
        <v>121</v>
      </c>
      <c r="B76" s="765">
        <f t="shared" ref="B76:D76" si="7">SUM(B75)</f>
        <v>10000000</v>
      </c>
      <c r="C76" s="764">
        <f t="shared" ref="C76" si="8">SUM(C75)</f>
        <v>19057620</v>
      </c>
      <c r="D76" s="764">
        <f t="shared" si="7"/>
        <v>19057620</v>
      </c>
      <c r="E76" s="766">
        <f>SUM(E75)</f>
        <v>0</v>
      </c>
      <c r="G76" s="769"/>
    </row>
    <row r="77" spans="1:7" ht="15" x14ac:dyDescent="0.2">
      <c r="A77" s="757"/>
      <c r="B77" s="780"/>
      <c r="C77" s="762"/>
      <c r="D77" s="762"/>
      <c r="E77" s="759"/>
      <c r="G77" s="760"/>
    </row>
    <row r="78" spans="1:7" ht="15.75" x14ac:dyDescent="0.25">
      <c r="A78" s="763" t="s">
        <v>752</v>
      </c>
      <c r="B78" s="780"/>
      <c r="C78" s="762"/>
      <c r="D78" s="762"/>
      <c r="E78" s="759"/>
      <c r="G78" s="760"/>
    </row>
    <row r="79" spans="1:7" s="767" customFormat="1" ht="15.75" x14ac:dyDescent="0.25">
      <c r="A79" s="763" t="s">
        <v>121</v>
      </c>
      <c r="B79" s="764"/>
      <c r="C79" s="765"/>
      <c r="D79" s="765"/>
      <c r="E79" s="766"/>
      <c r="G79" s="769"/>
    </row>
    <row r="80" spans="1:7" ht="15.75" x14ac:dyDescent="0.25">
      <c r="A80" s="763"/>
      <c r="B80" s="780"/>
      <c r="C80" s="765"/>
      <c r="D80" s="765"/>
      <c r="E80" s="766"/>
      <c r="G80" s="760"/>
    </row>
    <row r="81" spans="1:7" ht="15.75" x14ac:dyDescent="0.25">
      <c r="A81" s="763" t="s">
        <v>753</v>
      </c>
      <c r="B81" s="780"/>
      <c r="C81" s="762"/>
      <c r="D81" s="762"/>
      <c r="E81" s="759"/>
      <c r="G81" s="760"/>
    </row>
    <row r="82" spans="1:7" ht="28.5" x14ac:dyDescent="0.2">
      <c r="A82" s="761" t="s">
        <v>754</v>
      </c>
      <c r="B82" s="762">
        <v>300000</v>
      </c>
      <c r="C82" s="758">
        <v>300000</v>
      </c>
      <c r="D82" s="758">
        <v>300000</v>
      </c>
      <c r="E82" s="759">
        <f t="shared" ref="E82:E84" si="9">D82-C82</f>
        <v>0</v>
      </c>
      <c r="G82" s="760"/>
    </row>
    <row r="83" spans="1:7" ht="15" x14ac:dyDescent="0.2">
      <c r="A83" s="761" t="s">
        <v>958</v>
      </c>
      <c r="B83" s="762">
        <v>150000</v>
      </c>
      <c r="C83" s="758">
        <v>150000</v>
      </c>
      <c r="D83" s="758">
        <v>150000</v>
      </c>
      <c r="E83" s="759">
        <f t="shared" si="9"/>
        <v>0</v>
      </c>
      <c r="G83" s="760"/>
    </row>
    <row r="84" spans="1:7" ht="15" x14ac:dyDescent="0.2">
      <c r="A84" s="761" t="s">
        <v>959</v>
      </c>
      <c r="B84" s="762">
        <v>2500000</v>
      </c>
      <c r="C84" s="758">
        <v>2500000</v>
      </c>
      <c r="D84" s="758">
        <v>2500000</v>
      </c>
      <c r="E84" s="759">
        <f t="shared" si="9"/>
        <v>0</v>
      </c>
      <c r="G84" s="760"/>
    </row>
    <row r="85" spans="1:7" s="767" customFormat="1" ht="15.75" x14ac:dyDescent="0.25">
      <c r="A85" s="763" t="s">
        <v>121</v>
      </c>
      <c r="B85" s="764">
        <f>SUM(B82:B84)</f>
        <v>2950000</v>
      </c>
      <c r="C85" s="764">
        <f>SUM(C82:C84)</f>
        <v>2950000</v>
      </c>
      <c r="D85" s="764">
        <f>SUM(D82:D84)</f>
        <v>2950000</v>
      </c>
      <c r="E85" s="766">
        <f>SUM(E82:E84)</f>
        <v>0</v>
      </c>
      <c r="G85" s="769"/>
    </row>
    <row r="86" spans="1:7" ht="15" x14ac:dyDescent="0.2">
      <c r="A86" s="757"/>
      <c r="B86" s="780"/>
      <c r="C86" s="762"/>
      <c r="D86" s="762"/>
      <c r="E86" s="759"/>
      <c r="G86" s="760"/>
    </row>
    <row r="87" spans="1:7" ht="31.5" x14ac:dyDescent="0.25">
      <c r="A87" s="763" t="s">
        <v>755</v>
      </c>
      <c r="B87" s="780"/>
      <c r="C87" s="762"/>
      <c r="D87" s="762"/>
      <c r="E87" s="759"/>
      <c r="G87" s="760"/>
    </row>
    <row r="88" spans="1:7" s="767" customFormat="1" ht="15.75" x14ac:dyDescent="0.25">
      <c r="A88" s="763" t="s">
        <v>121</v>
      </c>
      <c r="B88" s="764"/>
      <c r="C88" s="765"/>
      <c r="D88" s="765"/>
      <c r="E88" s="766"/>
      <c r="G88" s="769"/>
    </row>
    <row r="89" spans="1:7" ht="15" x14ac:dyDescent="0.2">
      <c r="A89" s="757"/>
      <c r="B89" s="780"/>
      <c r="C89" s="762"/>
      <c r="D89" s="762"/>
      <c r="E89" s="759"/>
      <c r="G89" s="760"/>
    </row>
    <row r="90" spans="1:7" ht="31.5" x14ac:dyDescent="0.25">
      <c r="A90" s="763" t="s">
        <v>756</v>
      </c>
      <c r="B90" s="780"/>
      <c r="C90" s="762"/>
      <c r="D90" s="762"/>
      <c r="E90" s="759"/>
      <c r="G90" s="760"/>
    </row>
    <row r="91" spans="1:7" ht="30" x14ac:dyDescent="0.2">
      <c r="A91" s="757" t="s">
        <v>960</v>
      </c>
      <c r="B91" s="762">
        <v>673000</v>
      </c>
      <c r="C91" s="762">
        <v>673000</v>
      </c>
      <c r="D91" s="762">
        <v>673000</v>
      </c>
      <c r="E91" s="759">
        <f t="shared" ref="E91" si="10">D91-C91</f>
        <v>0</v>
      </c>
      <c r="G91" s="760"/>
    </row>
    <row r="92" spans="1:7" s="767" customFormat="1" ht="15.75" x14ac:dyDescent="0.25">
      <c r="A92" s="763" t="s">
        <v>121</v>
      </c>
      <c r="B92" s="765">
        <f t="shared" ref="B92:D92" si="11">SUM(B91)</f>
        <v>673000</v>
      </c>
      <c r="C92" s="764">
        <f t="shared" ref="C92" si="12">SUM(C91)</f>
        <v>673000</v>
      </c>
      <c r="D92" s="764">
        <f t="shared" si="11"/>
        <v>673000</v>
      </c>
      <c r="E92" s="766">
        <f>SUM(E91)</f>
        <v>0</v>
      </c>
      <c r="G92" s="769"/>
    </row>
    <row r="93" spans="1:7" ht="15" x14ac:dyDescent="0.2">
      <c r="A93" s="757"/>
      <c r="B93" s="780"/>
      <c r="C93" s="762"/>
      <c r="D93" s="762"/>
      <c r="E93" s="759"/>
      <c r="G93" s="760"/>
    </row>
    <row r="94" spans="1:7" ht="47.25" x14ac:dyDescent="0.25">
      <c r="A94" s="763" t="s">
        <v>757</v>
      </c>
      <c r="B94" s="780"/>
      <c r="C94" s="762"/>
      <c r="D94" s="762"/>
      <c r="E94" s="759"/>
      <c r="G94" s="760"/>
    </row>
    <row r="95" spans="1:7" ht="28.5" customHeight="1" x14ac:dyDescent="0.2">
      <c r="A95" s="761" t="s">
        <v>961</v>
      </c>
      <c r="B95" s="762">
        <v>15700000</v>
      </c>
      <c r="C95" s="758">
        <v>15700000</v>
      </c>
      <c r="D95" s="758">
        <v>15700000</v>
      </c>
      <c r="E95" s="759">
        <f t="shared" ref="E95:E96" si="13">D95-C95</f>
        <v>0</v>
      </c>
      <c r="G95" s="760"/>
    </row>
    <row r="96" spans="1:7" ht="28.5" customHeight="1" x14ac:dyDescent="0.2">
      <c r="A96" s="761" t="s">
        <v>962</v>
      </c>
      <c r="B96" s="762">
        <v>5970000</v>
      </c>
      <c r="C96" s="758">
        <v>0</v>
      </c>
      <c r="D96" s="758">
        <v>0</v>
      </c>
      <c r="E96" s="759">
        <f t="shared" si="13"/>
        <v>0</v>
      </c>
      <c r="G96" s="760"/>
    </row>
    <row r="97" spans="1:7" s="767" customFormat="1" ht="15.75" x14ac:dyDescent="0.25">
      <c r="A97" s="763" t="s">
        <v>121</v>
      </c>
      <c r="B97" s="764">
        <f>SUM(B95:B96)</f>
        <v>21670000</v>
      </c>
      <c r="C97" s="764">
        <f>SUM(C95:C96)</f>
        <v>15700000</v>
      </c>
      <c r="D97" s="764">
        <f>SUM(D95:D96)</f>
        <v>15700000</v>
      </c>
      <c r="E97" s="766">
        <f>SUM(E95:E96)</f>
        <v>0</v>
      </c>
      <c r="G97" s="769"/>
    </row>
    <row r="98" spans="1:7" ht="15.75" x14ac:dyDescent="0.25">
      <c r="A98" s="763"/>
      <c r="B98" s="780"/>
      <c r="C98" s="765"/>
      <c r="D98" s="765"/>
      <c r="E98" s="766"/>
      <c r="G98" s="760"/>
    </row>
    <row r="99" spans="1:7" ht="15.75" x14ac:dyDescent="0.25">
      <c r="A99" s="763" t="s">
        <v>758</v>
      </c>
      <c r="B99" s="780"/>
      <c r="C99" s="765"/>
      <c r="D99" s="765"/>
      <c r="E99" s="766"/>
      <c r="G99" s="760"/>
    </row>
    <row r="100" spans="1:7" s="767" customFormat="1" ht="28.5" x14ac:dyDescent="0.2">
      <c r="A100" s="793" t="s">
        <v>963</v>
      </c>
      <c r="B100" s="762">
        <v>4000000</v>
      </c>
      <c r="C100" s="758">
        <v>4000000</v>
      </c>
      <c r="D100" s="758">
        <v>4000000</v>
      </c>
      <c r="E100" s="759">
        <f t="shared" ref="E100:E105" si="14">D100-C100</f>
        <v>0</v>
      </c>
      <c r="G100" s="769"/>
    </row>
    <row r="101" spans="1:7" s="767" customFormat="1" ht="28.5" x14ac:dyDescent="0.2">
      <c r="A101" s="793" t="s">
        <v>964</v>
      </c>
      <c r="B101" s="762">
        <v>1700000</v>
      </c>
      <c r="C101" s="758">
        <v>1700000</v>
      </c>
      <c r="D101" s="758">
        <v>1700000</v>
      </c>
      <c r="E101" s="759">
        <f t="shared" si="14"/>
        <v>0</v>
      </c>
      <c r="G101" s="769"/>
    </row>
    <row r="102" spans="1:7" s="767" customFormat="1" ht="28.5" x14ac:dyDescent="0.2">
      <c r="A102" s="793" t="s">
        <v>965</v>
      </c>
      <c r="B102" s="762">
        <v>700000</v>
      </c>
      <c r="C102" s="758">
        <v>700000</v>
      </c>
      <c r="D102" s="758">
        <v>700000</v>
      </c>
      <c r="E102" s="759">
        <f t="shared" si="14"/>
        <v>0</v>
      </c>
      <c r="G102" s="769"/>
    </row>
    <row r="103" spans="1:7" s="767" customFormat="1" ht="28.5" x14ac:dyDescent="0.2">
      <c r="A103" s="793" t="s">
        <v>966</v>
      </c>
      <c r="B103" s="762">
        <v>700000</v>
      </c>
      <c r="C103" s="758">
        <v>700000</v>
      </c>
      <c r="D103" s="758">
        <v>700000</v>
      </c>
      <c r="E103" s="759">
        <f t="shared" si="14"/>
        <v>0</v>
      </c>
      <c r="G103" s="769"/>
    </row>
    <row r="104" spans="1:7" s="767" customFormat="1" ht="15" x14ac:dyDescent="0.2">
      <c r="A104" s="793" t="s">
        <v>967</v>
      </c>
      <c r="B104" s="762">
        <v>1000000</v>
      </c>
      <c r="C104" s="758">
        <v>1000000</v>
      </c>
      <c r="D104" s="758">
        <v>1000000</v>
      </c>
      <c r="E104" s="759">
        <f t="shared" si="14"/>
        <v>0</v>
      </c>
      <c r="G104" s="769"/>
    </row>
    <row r="105" spans="1:7" s="767" customFormat="1" ht="28.5" x14ac:dyDescent="0.2">
      <c r="A105" s="793" t="s">
        <v>968</v>
      </c>
      <c r="B105" s="762">
        <v>500000</v>
      </c>
      <c r="C105" s="758">
        <v>500000</v>
      </c>
      <c r="D105" s="758">
        <v>500000</v>
      </c>
      <c r="E105" s="759">
        <f t="shared" si="14"/>
        <v>0</v>
      </c>
      <c r="G105" s="769"/>
    </row>
    <row r="106" spans="1:7" s="767" customFormat="1" ht="15.75" x14ac:dyDescent="0.25">
      <c r="A106" s="763" t="s">
        <v>121</v>
      </c>
      <c r="B106" s="764">
        <f>SUM(B100:B105)</f>
        <v>8600000</v>
      </c>
      <c r="C106" s="764">
        <f>SUM(C100:C105)</f>
        <v>8600000</v>
      </c>
      <c r="D106" s="764">
        <f>SUM(D100:D105)</f>
        <v>8600000</v>
      </c>
      <c r="E106" s="766">
        <f>SUM(E100:E105)</f>
        <v>0</v>
      </c>
      <c r="G106" s="769"/>
    </row>
    <row r="107" spans="1:7" ht="15.75" x14ac:dyDescent="0.25">
      <c r="A107" s="763"/>
      <c r="B107" s="780"/>
      <c r="C107" s="765"/>
      <c r="D107" s="765"/>
      <c r="E107" s="766"/>
      <c r="G107" s="760"/>
    </row>
    <row r="108" spans="1:7" s="767" customFormat="1" ht="15.75" x14ac:dyDescent="0.25">
      <c r="A108" s="763" t="s">
        <v>759</v>
      </c>
      <c r="B108" s="779"/>
      <c r="C108" s="765"/>
      <c r="D108" s="765"/>
      <c r="E108" s="766"/>
      <c r="G108" s="769"/>
    </row>
    <row r="109" spans="1:7" ht="15" x14ac:dyDescent="0.2">
      <c r="A109" s="757"/>
      <c r="B109" s="780"/>
      <c r="C109" s="762"/>
      <c r="D109" s="762"/>
      <c r="E109" s="759"/>
      <c r="G109" s="760"/>
    </row>
    <row r="110" spans="1:7" s="767" customFormat="1" ht="15.75" x14ac:dyDescent="0.25">
      <c r="A110" s="763" t="s">
        <v>121</v>
      </c>
      <c r="B110" s="779"/>
      <c r="C110" s="765"/>
      <c r="D110" s="765"/>
      <c r="E110" s="766"/>
      <c r="G110" s="769"/>
    </row>
    <row r="111" spans="1:7" ht="15.75" x14ac:dyDescent="0.25">
      <c r="A111" s="763"/>
      <c r="B111" s="780"/>
      <c r="C111" s="765"/>
      <c r="D111" s="765"/>
      <c r="E111" s="766"/>
      <c r="G111" s="760"/>
    </row>
    <row r="112" spans="1:7" s="767" customFormat="1" ht="15.75" x14ac:dyDescent="0.25">
      <c r="A112" s="763" t="s">
        <v>760</v>
      </c>
      <c r="B112" s="764"/>
      <c r="C112" s="765">
        <v>424380</v>
      </c>
      <c r="D112" s="765">
        <v>0</v>
      </c>
      <c r="E112" s="766">
        <f t="shared" ref="E112:E118" si="15">D112-C112</f>
        <v>-424380</v>
      </c>
    </row>
    <row r="113" spans="1:9" s="767" customFormat="1" ht="18.75" customHeight="1" x14ac:dyDescent="0.25">
      <c r="A113" s="763" t="s">
        <v>761</v>
      </c>
      <c r="B113" s="764">
        <v>9000000</v>
      </c>
      <c r="C113" s="764">
        <v>9000000</v>
      </c>
      <c r="D113" s="764">
        <v>9000000</v>
      </c>
      <c r="E113" s="766">
        <f t="shared" si="15"/>
        <v>0</v>
      </c>
    </row>
    <row r="114" spans="1:9" s="767" customFormat="1" ht="15.75" x14ac:dyDescent="0.25">
      <c r="A114" s="763" t="s">
        <v>762</v>
      </c>
      <c r="B114" s="758"/>
      <c r="C114" s="758"/>
      <c r="D114" s="758"/>
      <c r="E114" s="759">
        <f t="shared" si="15"/>
        <v>0</v>
      </c>
      <c r="G114" s="794"/>
    </row>
    <row r="115" spans="1:9" s="767" customFormat="1" ht="15" x14ac:dyDescent="0.2">
      <c r="A115" s="757" t="s">
        <v>763</v>
      </c>
      <c r="B115" s="758">
        <v>5359527</v>
      </c>
      <c r="C115" s="758">
        <v>5359527</v>
      </c>
      <c r="D115" s="758">
        <v>5359527</v>
      </c>
      <c r="E115" s="759">
        <f t="shared" si="15"/>
        <v>0</v>
      </c>
      <c r="F115" s="768"/>
      <c r="G115" s="794"/>
    </row>
    <row r="116" spans="1:9" s="767" customFormat="1" ht="30" x14ac:dyDescent="0.2">
      <c r="A116" s="757" t="s">
        <v>764</v>
      </c>
      <c r="B116" s="758">
        <v>5800000</v>
      </c>
      <c r="C116" s="758">
        <v>5800000</v>
      </c>
      <c r="D116" s="758">
        <v>5800000</v>
      </c>
      <c r="E116" s="759">
        <f t="shared" si="15"/>
        <v>0</v>
      </c>
      <c r="F116" s="768"/>
      <c r="G116" s="794"/>
    </row>
    <row r="117" spans="1:9" s="767" customFormat="1" ht="45" x14ac:dyDescent="0.2">
      <c r="A117" s="690" t="s">
        <v>969</v>
      </c>
      <c r="B117" s="758">
        <v>9080500</v>
      </c>
      <c r="C117" s="758">
        <v>10605500</v>
      </c>
      <c r="D117" s="758">
        <v>10605500</v>
      </c>
      <c r="E117" s="759">
        <f t="shared" si="15"/>
        <v>0</v>
      </c>
      <c r="F117" s="768"/>
      <c r="G117" s="794"/>
    </row>
    <row r="118" spans="1:9" s="767" customFormat="1" ht="15" x14ac:dyDescent="0.2">
      <c r="A118" s="690" t="s">
        <v>1146</v>
      </c>
      <c r="B118" s="758"/>
      <c r="C118" s="758"/>
      <c r="D118" s="758">
        <v>2900000</v>
      </c>
      <c r="E118" s="759">
        <f t="shared" si="15"/>
        <v>2900000</v>
      </c>
      <c r="F118" s="768"/>
      <c r="G118" s="794"/>
    </row>
    <row r="119" spans="1:9" s="767" customFormat="1" ht="15.75" x14ac:dyDescent="0.25">
      <c r="A119" s="763" t="s">
        <v>121</v>
      </c>
      <c r="B119" s="764">
        <f>SUM(B115:B117)</f>
        <v>20240027</v>
      </c>
      <c r="C119" s="764">
        <f>SUM(C115:C117)</f>
        <v>21765027</v>
      </c>
      <c r="D119" s="764">
        <f>SUM(D115:D118)</f>
        <v>24665027</v>
      </c>
      <c r="E119" s="766">
        <f>SUM(E115:E118)</f>
        <v>2900000</v>
      </c>
      <c r="F119" s="768"/>
      <c r="G119" s="794"/>
    </row>
    <row r="120" spans="1:9" s="795" customFormat="1" ht="16.5" thickBot="1" x14ac:dyDescent="0.3">
      <c r="A120" s="789" t="s">
        <v>110</v>
      </c>
      <c r="B120" s="790">
        <f>B113+B97+B92+B88+B85+B79+B76+B62+B59+B54+B51+B48+B40+B32+B23+B20+B14+B68+B112+B110+B106+B65+B71+B119</f>
        <v>107408627</v>
      </c>
      <c r="C120" s="790">
        <f>C113+C97+C92+C88+C85+C79+C76+C62+C59+C54+C51+C48+C40+C32+C23+C20+C14+C68+C112+C110+C106+C65+C71+C119</f>
        <v>108425627</v>
      </c>
      <c r="D120" s="790">
        <f>D113+D97+D92+D88+D85+D79+D76+D62+D59+D54+D51+D48+D40+D32+D23+D20+D14+D68+D112+D110+D106+D65+D71+D119</f>
        <v>112001247</v>
      </c>
      <c r="E120" s="792">
        <f>E113+E97+E92+E88+E85+E79+E76+E62+E59+E54+E51+E48+E40+E32+E23+E20+E14+E68+E112+E110+E106+E65+E71+E119</f>
        <v>2475620</v>
      </c>
    </row>
    <row r="121" spans="1:9" s="796" customFormat="1" ht="15" x14ac:dyDescent="0.2">
      <c r="A121" s="796" t="s">
        <v>765</v>
      </c>
      <c r="B121" s="797">
        <f>B116+B115+B6+B7+B8+B9+B17+B18+B26+B19+B36+B43+B82+B95+B117+B27+B28</f>
        <v>51718627</v>
      </c>
      <c r="C121" s="797">
        <f>C116+C115+C6+C7+C8+C9+C17+C18+C26+C19+C36+C43+C82+C95+B117+C27+C28</f>
        <v>51718627</v>
      </c>
      <c r="D121" s="797">
        <f>D116+D115+D6+D7+D8+D9+D17+D18+D26+D19+D36+D43+D82+D95+B117+D27+D28+D118+D112+D39</f>
        <v>55718627</v>
      </c>
      <c r="E121" s="797"/>
      <c r="F121" s="798"/>
      <c r="G121" s="799"/>
      <c r="H121" s="798"/>
    </row>
    <row r="122" spans="1:9" s="796" customFormat="1" ht="15" x14ac:dyDescent="0.2">
      <c r="A122" s="796" t="s">
        <v>766</v>
      </c>
      <c r="B122" s="799">
        <f>B105+B104+B103+B102+B101+B100+B96+B91+B84+B83+B75+B58+B57+B47+B46+B45+B44+B38+B37+B31+B30+B29+B12+B11+B10</f>
        <v>46690000</v>
      </c>
      <c r="C122" s="799">
        <f>C105+C104+C103+C102+C101+C100+C96+C91+C84+C83+C75+C58+C57+C47+C46+C45+C44+C38+C37+C31+C30+C29+C12+C11+C10+C117-B117+C112</f>
        <v>47707000</v>
      </c>
      <c r="D122" s="799">
        <f>D105+D104+D103+D102+D101+D100+D96+D91+D84+D83+D75+D58+D57+D47+D46+D45+D44+D38+D37+D31+D30+D29+D12+D11+D10+D117-B117+D112</f>
        <v>47282620</v>
      </c>
      <c r="E122" s="799"/>
      <c r="G122" s="797"/>
    </row>
    <row r="123" spans="1:9" s="796" customFormat="1" ht="15" x14ac:dyDescent="0.2">
      <c r="A123" s="796" t="s">
        <v>767</v>
      </c>
      <c r="B123" s="797">
        <f>B113</f>
        <v>9000000</v>
      </c>
      <c r="C123" s="797">
        <f>C113</f>
        <v>9000000</v>
      </c>
      <c r="D123" s="797">
        <f>D113</f>
        <v>9000000</v>
      </c>
      <c r="E123" s="797">
        <f>E113</f>
        <v>0</v>
      </c>
    </row>
    <row r="124" spans="1:9" s="796" customFormat="1" ht="15" x14ac:dyDescent="0.2">
      <c r="A124" s="796" t="s">
        <v>768</v>
      </c>
      <c r="B124" s="797">
        <f>SUM(B121:B123)</f>
        <v>107408627</v>
      </c>
      <c r="C124" s="797">
        <f>SUM(C121:C123)</f>
        <v>108425627</v>
      </c>
      <c r="D124" s="797">
        <f>SUM(D121:D123)</f>
        <v>112001247</v>
      </c>
      <c r="E124" s="797">
        <f>SUM(E121:E123)</f>
        <v>0</v>
      </c>
      <c r="F124" s="797"/>
      <c r="G124" s="797"/>
      <c r="H124" s="797"/>
      <c r="I124" s="797"/>
    </row>
    <row r="125" spans="1:9" ht="15" x14ac:dyDescent="0.2">
      <c r="A125" s="796"/>
      <c r="B125" s="796"/>
      <c r="C125" s="797"/>
      <c r="D125" s="797"/>
      <c r="E125" s="800"/>
    </row>
    <row r="126" spans="1:9" ht="15" x14ac:dyDescent="0.2">
      <c r="C126" s="796"/>
      <c r="D126" s="796"/>
      <c r="E126" s="796"/>
    </row>
  </sheetData>
  <sheetProtection selectLockedCells="1" selectUnlockedCells="1"/>
  <mergeCells count="1">
    <mergeCell ref="A2:E2"/>
  </mergeCells>
  <pageMargins left="0.74791666666666667" right="0.74791666666666667" top="0.98402777777777772" bottom="0.98402777777777772" header="0.5" footer="0.51180555555555551"/>
  <pageSetup paperSize="9" scale="61" firstPageNumber="0" orientation="portrait" r:id="rId1"/>
  <headerFooter alignWithMargins="0">
    <oddHeader xml:space="preserve">&amp;C
6. melléklet 
 az önkormányzat 2020. évi költségvetéséről szóló 6/2019. (III.06.) önkormányzati rendelethez
a 42/2020. (XII.21.) önkormányzati rendelet módosítással egységes szerkezetbe foglalva&amp;R&amp;P. oldal
</oddHeader>
  </headerFooter>
  <rowBreaks count="2" manualBreakCount="2">
    <brk id="33" max="3" man="1"/>
    <brk id="7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J243"/>
  <sheetViews>
    <sheetView view="pageLayout" zoomScaleNormal="80" zoomScaleSheetLayoutView="80" workbookViewId="0">
      <selection activeCell="D219" sqref="D219"/>
    </sheetView>
  </sheetViews>
  <sheetFormatPr defaultColWidth="9.140625" defaultRowHeight="18" customHeight="1" x14ac:dyDescent="0.2"/>
  <cols>
    <col min="1" max="1" width="54.7109375" style="67" customWidth="1"/>
    <col min="2" max="2" width="15.85546875" style="208" customWidth="1"/>
    <col min="3" max="4" width="17.42578125" style="208" customWidth="1"/>
    <col min="5" max="5" width="15.7109375" style="208" customWidth="1"/>
    <col min="6" max="6" width="17.28515625" style="53" customWidth="1"/>
    <col min="7" max="7" width="16.140625" style="53" customWidth="1"/>
    <col min="8" max="8" width="16.85546875" style="53" customWidth="1"/>
    <col min="9" max="9" width="16.28515625" style="54" customWidth="1"/>
    <col min="10" max="10" width="23.85546875" style="55" customWidth="1"/>
    <col min="11" max="16384" width="9.140625" style="55"/>
  </cols>
  <sheetData>
    <row r="4" spans="1:10" ht="18" customHeight="1" x14ac:dyDescent="0.25">
      <c r="A4" s="1996" t="s">
        <v>661</v>
      </c>
      <c r="B4" s="1996"/>
      <c r="C4" s="1996"/>
      <c r="D4" s="1996"/>
      <c r="E4" s="1996"/>
    </row>
    <row r="5" spans="1:10" ht="18" customHeight="1" thickBot="1" x14ac:dyDescent="0.3">
      <c r="A5" s="396"/>
      <c r="B5" s="396"/>
      <c r="C5" s="396"/>
      <c r="D5" s="396"/>
      <c r="E5" s="396"/>
    </row>
    <row r="6" spans="1:10" ht="48.75" customHeight="1" thickBot="1" x14ac:dyDescent="0.25">
      <c r="A6" s="531" t="s">
        <v>86</v>
      </c>
      <c r="B6" s="556" t="s">
        <v>660</v>
      </c>
      <c r="C6" s="390" t="s">
        <v>1021</v>
      </c>
      <c r="D6" s="390" t="s">
        <v>1111</v>
      </c>
      <c r="E6" s="391" t="s">
        <v>987</v>
      </c>
      <c r="F6" s="52"/>
    </row>
    <row r="7" spans="1:10" ht="18" customHeight="1" x14ac:dyDescent="0.25">
      <c r="A7" s="279" t="s">
        <v>212</v>
      </c>
      <c r="B7" s="518"/>
      <c r="C7" s="599"/>
      <c r="D7" s="599"/>
      <c r="E7" s="672"/>
      <c r="F7" s="56"/>
    </row>
    <row r="8" spans="1:10" s="60" customFormat="1" ht="33" customHeight="1" x14ac:dyDescent="0.2">
      <c r="A8" s="216" t="s">
        <v>615</v>
      </c>
      <c r="B8" s="257"/>
      <c r="C8" s="206"/>
      <c r="D8" s="206"/>
      <c r="E8" s="673"/>
      <c r="F8" s="61"/>
      <c r="G8" s="58"/>
      <c r="H8" s="58"/>
      <c r="I8" s="59"/>
    </row>
    <row r="9" spans="1:10" s="60" customFormat="1" ht="30.75" customHeight="1" x14ac:dyDescent="0.2">
      <c r="A9" s="218" t="s">
        <v>215</v>
      </c>
      <c r="B9" s="519">
        <v>2921000</v>
      </c>
      <c r="C9" s="526">
        <v>2921000</v>
      </c>
      <c r="D9" s="526">
        <v>2921000</v>
      </c>
      <c r="E9" s="673">
        <f t="shared" ref="E9:E38" si="0">D9-C9</f>
        <v>0</v>
      </c>
      <c r="F9" s="61"/>
      <c r="G9" s="58"/>
      <c r="H9" s="58"/>
      <c r="I9" s="59"/>
    </row>
    <row r="10" spans="1:10" s="65" customFormat="1" ht="21.75" customHeight="1" x14ac:dyDescent="0.2">
      <c r="A10" s="218" t="s">
        <v>520</v>
      </c>
      <c r="B10" s="519"/>
      <c r="C10" s="526"/>
      <c r="D10" s="526"/>
      <c r="E10" s="673">
        <f t="shared" si="0"/>
        <v>0</v>
      </c>
      <c r="F10" s="62"/>
      <c r="G10" s="63"/>
      <c r="H10" s="63"/>
      <c r="I10" s="64"/>
    </row>
    <row r="11" spans="1:10" s="65" customFormat="1" ht="18" customHeight="1" x14ac:dyDescent="0.2">
      <c r="A11" s="217" t="s">
        <v>521</v>
      </c>
      <c r="B11" s="519">
        <v>45111110</v>
      </c>
      <c r="C11" s="526">
        <v>45111110</v>
      </c>
      <c r="D11" s="526">
        <v>45111110</v>
      </c>
      <c r="E11" s="673">
        <f t="shared" si="0"/>
        <v>0</v>
      </c>
      <c r="F11" s="62"/>
      <c r="G11" s="63"/>
      <c r="H11" s="63"/>
      <c r="I11" s="64"/>
    </row>
    <row r="12" spans="1:10" s="65" customFormat="1" ht="18" customHeight="1" x14ac:dyDescent="0.2">
      <c r="A12" s="217" t="s">
        <v>988</v>
      </c>
      <c r="B12" s="519">
        <v>349250</v>
      </c>
      <c r="C12" s="526">
        <v>0</v>
      </c>
      <c r="D12" s="526">
        <v>0</v>
      </c>
      <c r="E12" s="673">
        <f t="shared" si="0"/>
        <v>0</v>
      </c>
      <c r="F12" s="62"/>
      <c r="G12" s="63"/>
      <c r="H12" s="63"/>
      <c r="I12" s="64"/>
    </row>
    <row r="13" spans="1:10" s="65" customFormat="1" ht="24.75" customHeight="1" x14ac:dyDescent="0.2">
      <c r="A13" s="218" t="s">
        <v>451</v>
      </c>
      <c r="B13" s="519">
        <v>0</v>
      </c>
      <c r="C13" s="526">
        <v>0</v>
      </c>
      <c r="D13" s="526">
        <v>0</v>
      </c>
      <c r="E13" s="673">
        <f t="shared" si="0"/>
        <v>0</v>
      </c>
      <c r="F13" s="62"/>
      <c r="G13" s="63"/>
      <c r="H13" s="63"/>
      <c r="I13" s="64"/>
    </row>
    <row r="14" spans="1:10" s="65" customFormat="1" ht="24.75" customHeight="1" x14ac:dyDescent="0.2">
      <c r="A14" s="357" t="s">
        <v>476</v>
      </c>
      <c r="B14" s="519">
        <v>0</v>
      </c>
      <c r="C14" s="526">
        <v>0</v>
      </c>
      <c r="D14" s="526">
        <v>0</v>
      </c>
      <c r="E14" s="673">
        <f t="shared" si="0"/>
        <v>0</v>
      </c>
      <c r="F14" s="62"/>
      <c r="G14" s="63"/>
      <c r="H14" s="63"/>
      <c r="I14" s="63"/>
      <c r="J14" s="64"/>
    </row>
    <row r="15" spans="1:10" s="65" customFormat="1" ht="29.25" customHeight="1" x14ac:dyDescent="0.2">
      <c r="A15" s="357" t="s">
        <v>477</v>
      </c>
      <c r="B15" s="519">
        <v>0</v>
      </c>
      <c r="C15" s="526">
        <v>0</v>
      </c>
      <c r="D15" s="526">
        <v>0</v>
      </c>
      <c r="E15" s="673">
        <f t="shared" si="0"/>
        <v>0</v>
      </c>
      <c r="F15" s="62"/>
      <c r="G15" s="63"/>
      <c r="H15" s="63"/>
      <c r="I15" s="64"/>
    </row>
    <row r="16" spans="1:10" s="65" customFormat="1" ht="28.5" customHeight="1" x14ac:dyDescent="0.2">
      <c r="A16" s="357" t="s">
        <v>478</v>
      </c>
      <c r="B16" s="519">
        <v>0</v>
      </c>
      <c r="C16" s="526">
        <v>0</v>
      </c>
      <c r="D16" s="526">
        <v>0</v>
      </c>
      <c r="E16" s="673">
        <f t="shared" si="0"/>
        <v>0</v>
      </c>
      <c r="F16" s="62"/>
      <c r="G16" s="63"/>
      <c r="H16" s="63"/>
      <c r="I16" s="64"/>
    </row>
    <row r="17" spans="1:9" s="65" customFormat="1" ht="30.2" customHeight="1" x14ac:dyDescent="0.2">
      <c r="A17" s="218" t="s">
        <v>479</v>
      </c>
      <c r="B17" s="519">
        <v>0</v>
      </c>
      <c r="C17" s="526">
        <v>0</v>
      </c>
      <c r="D17" s="526">
        <v>0</v>
      </c>
      <c r="E17" s="673">
        <f t="shared" si="0"/>
        <v>0</v>
      </c>
      <c r="F17" s="62"/>
      <c r="G17" s="63"/>
      <c r="H17" s="63"/>
      <c r="I17" s="64"/>
    </row>
    <row r="18" spans="1:9" s="65" customFormat="1" ht="30.2" customHeight="1" x14ac:dyDescent="0.2">
      <c r="A18" s="311" t="s">
        <v>645</v>
      </c>
      <c r="B18" s="519">
        <v>73660000</v>
      </c>
      <c r="C18" s="526">
        <v>73660000</v>
      </c>
      <c r="D18" s="526">
        <v>73660000</v>
      </c>
      <c r="E18" s="673">
        <f t="shared" si="0"/>
        <v>0</v>
      </c>
      <c r="F18" s="62"/>
      <c r="G18" s="63"/>
      <c r="H18" s="63"/>
      <c r="I18" s="64"/>
    </row>
    <row r="19" spans="1:9" s="65" customFormat="1" ht="23.25" customHeight="1" x14ac:dyDescent="0.2">
      <c r="A19" s="310" t="s">
        <v>449</v>
      </c>
      <c r="B19" s="519">
        <v>1714500</v>
      </c>
      <c r="C19" s="526">
        <v>1714500</v>
      </c>
      <c r="D19" s="526">
        <v>1714500</v>
      </c>
      <c r="E19" s="673">
        <f t="shared" si="0"/>
        <v>0</v>
      </c>
      <c r="F19" s="62"/>
      <c r="G19" s="63"/>
      <c r="H19" s="63"/>
      <c r="I19" s="64"/>
    </row>
    <row r="20" spans="1:9" s="65" customFormat="1" ht="20.25" customHeight="1" x14ac:dyDescent="0.2">
      <c r="A20" s="310" t="s">
        <v>450</v>
      </c>
      <c r="B20" s="519">
        <v>1290320</v>
      </c>
      <c r="C20" s="526">
        <v>1290320</v>
      </c>
      <c r="D20" s="526">
        <v>1290320</v>
      </c>
      <c r="E20" s="673">
        <f t="shared" si="0"/>
        <v>0</v>
      </c>
      <c r="F20" s="62"/>
      <c r="G20" s="63"/>
      <c r="H20" s="63"/>
      <c r="I20" s="64"/>
    </row>
    <row r="21" spans="1:9" s="65" customFormat="1" ht="20.25" customHeight="1" x14ac:dyDescent="0.2">
      <c r="A21" s="311" t="s">
        <v>510</v>
      </c>
      <c r="B21" s="519">
        <v>762000</v>
      </c>
      <c r="C21" s="526">
        <v>1333500</v>
      </c>
      <c r="D21" s="526">
        <v>3238500</v>
      </c>
      <c r="E21" s="673">
        <f t="shared" si="0"/>
        <v>1905000</v>
      </c>
      <c r="F21" s="62"/>
      <c r="G21" s="63"/>
      <c r="H21" s="63"/>
      <c r="I21" s="64"/>
    </row>
    <row r="22" spans="1:9" s="65" customFormat="1" ht="15" x14ac:dyDescent="0.2">
      <c r="A22" s="311" t="s">
        <v>21</v>
      </c>
      <c r="B22" s="519">
        <v>0</v>
      </c>
      <c r="C22" s="526">
        <v>0</v>
      </c>
      <c r="D22" s="526">
        <v>0</v>
      </c>
      <c r="E22" s="673">
        <f t="shared" si="0"/>
        <v>0</v>
      </c>
      <c r="F22" s="62"/>
      <c r="G22" s="63"/>
      <c r="H22" s="63"/>
      <c r="I22" s="64"/>
    </row>
    <row r="23" spans="1:9" s="65" customFormat="1" ht="15" x14ac:dyDescent="0.2">
      <c r="A23" s="311" t="s">
        <v>22</v>
      </c>
      <c r="B23" s="519">
        <v>0</v>
      </c>
      <c r="C23" s="526">
        <v>0</v>
      </c>
      <c r="D23" s="526">
        <v>0</v>
      </c>
      <c r="E23" s="673">
        <f t="shared" si="0"/>
        <v>0</v>
      </c>
      <c r="F23" s="62"/>
      <c r="G23" s="63"/>
      <c r="H23" s="63"/>
      <c r="I23" s="64"/>
    </row>
    <row r="24" spans="1:9" s="65" customFormat="1" ht="15" x14ac:dyDescent="0.2">
      <c r="A24" s="311" t="s">
        <v>23</v>
      </c>
      <c r="B24" s="519">
        <v>0</v>
      </c>
      <c r="C24" s="526">
        <v>0</v>
      </c>
      <c r="D24" s="526">
        <v>0</v>
      </c>
      <c r="E24" s="673">
        <f t="shared" si="0"/>
        <v>0</v>
      </c>
      <c r="F24" s="62"/>
      <c r="G24" s="63"/>
      <c r="H24" s="63"/>
      <c r="I24" s="64"/>
    </row>
    <row r="25" spans="1:9" s="65" customFormat="1" ht="15" x14ac:dyDescent="0.2">
      <c r="A25" s="311" t="s">
        <v>460</v>
      </c>
      <c r="B25" s="519">
        <v>1905000</v>
      </c>
      <c r="C25" s="526">
        <v>1905000</v>
      </c>
      <c r="D25" s="526">
        <v>1905000</v>
      </c>
      <c r="E25" s="673">
        <f t="shared" si="0"/>
        <v>0</v>
      </c>
      <c r="F25" s="62"/>
      <c r="G25" s="63"/>
      <c r="H25" s="63"/>
      <c r="I25" s="64"/>
    </row>
    <row r="26" spans="1:9" s="65" customFormat="1" ht="30" x14ac:dyDescent="0.2">
      <c r="A26" s="311" t="s">
        <v>199</v>
      </c>
      <c r="B26" s="519">
        <v>0</v>
      </c>
      <c r="C26" s="526">
        <v>0</v>
      </c>
      <c r="D26" s="526">
        <v>0</v>
      </c>
      <c r="E26" s="673">
        <f t="shared" si="0"/>
        <v>0</v>
      </c>
      <c r="F26" s="62"/>
      <c r="G26" s="63"/>
      <c r="H26" s="63"/>
      <c r="I26" s="64"/>
    </row>
    <row r="27" spans="1:9" s="65" customFormat="1" ht="45" x14ac:dyDescent="0.2">
      <c r="A27" s="458" t="s">
        <v>7</v>
      </c>
      <c r="B27" s="600">
        <v>33427464</v>
      </c>
      <c r="C27" s="1403">
        <v>33427464</v>
      </c>
      <c r="D27" s="1403">
        <v>33427464</v>
      </c>
      <c r="E27" s="673">
        <f t="shared" si="0"/>
        <v>0</v>
      </c>
      <c r="F27" s="62"/>
      <c r="G27" s="63"/>
      <c r="H27" s="63"/>
      <c r="I27" s="64"/>
    </row>
    <row r="28" spans="1:9" s="65" customFormat="1" ht="15" x14ac:dyDescent="0.2">
      <c r="A28" s="460" t="s">
        <v>503</v>
      </c>
      <c r="B28" s="519">
        <v>0</v>
      </c>
      <c r="C28" s="526">
        <v>0</v>
      </c>
      <c r="D28" s="526">
        <v>0</v>
      </c>
      <c r="E28" s="673">
        <f t="shared" si="0"/>
        <v>0</v>
      </c>
      <c r="F28" s="62"/>
      <c r="G28" s="63"/>
      <c r="H28" s="63"/>
      <c r="I28" s="64"/>
    </row>
    <row r="29" spans="1:9" s="65" customFormat="1" ht="15" x14ac:dyDescent="0.2">
      <c r="A29" s="462" t="s">
        <v>504</v>
      </c>
      <c r="B29" s="519">
        <v>0</v>
      </c>
      <c r="C29" s="526">
        <v>0</v>
      </c>
      <c r="D29" s="526">
        <v>0</v>
      </c>
      <c r="E29" s="673">
        <f t="shared" si="0"/>
        <v>0</v>
      </c>
      <c r="F29" s="62"/>
      <c r="G29" s="63"/>
      <c r="H29" s="63"/>
      <c r="I29" s="64"/>
    </row>
    <row r="30" spans="1:9" s="65" customFormat="1" ht="105" x14ac:dyDescent="0.2">
      <c r="A30" s="219" t="s">
        <v>704</v>
      </c>
      <c r="B30" s="523">
        <v>15316200</v>
      </c>
      <c r="C30" s="634">
        <v>15316200</v>
      </c>
      <c r="D30" s="634">
        <v>15316200</v>
      </c>
      <c r="E30" s="673">
        <f t="shared" si="0"/>
        <v>0</v>
      </c>
      <c r="F30" s="62"/>
      <c r="G30" s="63"/>
      <c r="H30" s="63"/>
      <c r="I30" s="64"/>
    </row>
    <row r="31" spans="1:9" s="65" customFormat="1" ht="30" x14ac:dyDescent="0.2">
      <c r="A31" s="219" t="s">
        <v>457</v>
      </c>
      <c r="B31" s="519">
        <v>0</v>
      </c>
      <c r="C31" s="526">
        <v>0</v>
      </c>
      <c r="D31" s="526">
        <v>0</v>
      </c>
      <c r="E31" s="673">
        <f t="shared" si="0"/>
        <v>0</v>
      </c>
      <c r="F31" s="62"/>
      <c r="G31" s="63"/>
      <c r="H31" s="63"/>
      <c r="I31" s="64"/>
    </row>
    <row r="32" spans="1:9" s="65" customFormat="1" ht="30" x14ac:dyDescent="0.2">
      <c r="A32" s="219" t="s">
        <v>505</v>
      </c>
      <c r="B32" s="519">
        <v>0</v>
      </c>
      <c r="C32" s="526">
        <v>0</v>
      </c>
      <c r="D32" s="526">
        <v>0</v>
      </c>
      <c r="E32" s="673">
        <f t="shared" si="0"/>
        <v>0</v>
      </c>
      <c r="F32" s="62"/>
      <c r="G32" s="63"/>
      <c r="H32" s="63"/>
      <c r="I32" s="64"/>
    </row>
    <row r="33" spans="1:9" s="65" customFormat="1" ht="15" x14ac:dyDescent="0.2">
      <c r="A33" s="219" t="s">
        <v>559</v>
      </c>
      <c r="B33" s="519">
        <v>0</v>
      </c>
      <c r="C33" s="526">
        <v>0</v>
      </c>
      <c r="D33" s="526">
        <v>0</v>
      </c>
      <c r="E33" s="673">
        <f t="shared" si="0"/>
        <v>0</v>
      </c>
      <c r="F33" s="62"/>
      <c r="G33" s="63"/>
      <c r="H33" s="63"/>
      <c r="I33" s="64"/>
    </row>
    <row r="34" spans="1:9" s="65" customFormat="1" ht="15" x14ac:dyDescent="0.2">
      <c r="A34" s="219" t="s">
        <v>560</v>
      </c>
      <c r="B34" s="519">
        <v>0</v>
      </c>
      <c r="C34" s="526">
        <v>0</v>
      </c>
      <c r="D34" s="526">
        <v>0</v>
      </c>
      <c r="E34" s="673">
        <f t="shared" si="0"/>
        <v>0</v>
      </c>
      <c r="F34" s="62"/>
      <c r="G34" s="63"/>
      <c r="H34" s="63"/>
      <c r="I34" s="64"/>
    </row>
    <row r="35" spans="1:9" s="65" customFormat="1" ht="15" x14ac:dyDescent="0.2">
      <c r="A35" s="219" t="s">
        <v>561</v>
      </c>
      <c r="B35" s="519">
        <v>9999878</v>
      </c>
      <c r="C35" s="526">
        <v>9999878</v>
      </c>
      <c r="D35" s="526">
        <v>9999878</v>
      </c>
      <c r="E35" s="673">
        <f t="shared" si="0"/>
        <v>0</v>
      </c>
      <c r="F35" s="62"/>
      <c r="G35" s="63"/>
      <c r="H35" s="63"/>
      <c r="I35" s="64"/>
    </row>
    <row r="36" spans="1:9" s="65" customFormat="1" ht="15" x14ac:dyDescent="0.2">
      <c r="A36" s="219" t="s">
        <v>507</v>
      </c>
      <c r="B36" s="519">
        <v>0</v>
      </c>
      <c r="C36" s="526">
        <v>0</v>
      </c>
      <c r="D36" s="526">
        <v>0</v>
      </c>
      <c r="E36" s="673">
        <f t="shared" si="0"/>
        <v>0</v>
      </c>
      <c r="F36" s="62"/>
      <c r="G36" s="63"/>
      <c r="H36" s="63"/>
      <c r="I36" s="64"/>
    </row>
    <row r="37" spans="1:9" s="65" customFormat="1" ht="15" x14ac:dyDescent="0.2">
      <c r="A37" s="219" t="s">
        <v>508</v>
      </c>
      <c r="B37" s="519">
        <v>0</v>
      </c>
      <c r="C37" s="526">
        <v>0</v>
      </c>
      <c r="D37" s="526">
        <v>0</v>
      </c>
      <c r="E37" s="673">
        <f t="shared" si="0"/>
        <v>0</v>
      </c>
      <c r="F37" s="62"/>
      <c r="G37" s="63"/>
      <c r="H37" s="63"/>
      <c r="I37" s="64"/>
    </row>
    <row r="38" spans="1:9" s="65" customFormat="1" ht="15.75" thickBot="1" x14ac:dyDescent="0.25">
      <c r="A38" s="461" t="s">
        <v>509</v>
      </c>
      <c r="B38" s="520">
        <v>0</v>
      </c>
      <c r="C38" s="1398">
        <v>0</v>
      </c>
      <c r="D38" s="1398">
        <v>0</v>
      </c>
      <c r="E38" s="1312">
        <f t="shared" si="0"/>
        <v>0</v>
      </c>
      <c r="F38" s="62"/>
      <c r="G38" s="63"/>
      <c r="H38" s="63"/>
      <c r="I38" s="64"/>
    </row>
    <row r="39" spans="1:9" s="65" customFormat="1" ht="45.75" thickBot="1" x14ac:dyDescent="0.25">
      <c r="A39" s="1203" t="s">
        <v>86</v>
      </c>
      <c r="B39" s="556" t="s">
        <v>660</v>
      </c>
      <c r="C39" s="390" t="s">
        <v>1021</v>
      </c>
      <c r="D39" s="390" t="s">
        <v>1111</v>
      </c>
      <c r="E39" s="1299" t="s">
        <v>987</v>
      </c>
      <c r="F39" s="62"/>
      <c r="G39" s="63"/>
      <c r="H39" s="63"/>
      <c r="I39" s="64"/>
    </row>
    <row r="40" spans="1:9" s="65" customFormat="1" ht="15" x14ac:dyDescent="0.2">
      <c r="A40" s="1313" t="s">
        <v>562</v>
      </c>
      <c r="B40" s="1314">
        <v>0</v>
      </c>
      <c r="C40" s="1404">
        <v>0</v>
      </c>
      <c r="D40" s="1404">
        <v>0</v>
      </c>
      <c r="E40" s="1315">
        <f t="shared" ref="E40:E74" si="1">D40-C40</f>
        <v>0</v>
      </c>
      <c r="F40" s="62"/>
      <c r="G40" s="63"/>
      <c r="H40" s="63"/>
      <c r="I40" s="64"/>
    </row>
    <row r="41" spans="1:9" s="65" customFormat="1" ht="15" x14ac:dyDescent="0.2">
      <c r="A41" s="311" t="s">
        <v>17</v>
      </c>
      <c r="B41" s="521">
        <v>0</v>
      </c>
      <c r="C41" s="1405">
        <v>0</v>
      </c>
      <c r="D41" s="1405">
        <v>0</v>
      </c>
      <c r="E41" s="459">
        <f t="shared" si="1"/>
        <v>0</v>
      </c>
      <c r="F41" s="62"/>
      <c r="G41" s="63"/>
      <c r="H41" s="63"/>
      <c r="I41" s="64"/>
    </row>
    <row r="42" spans="1:9" s="65" customFormat="1" ht="45" x14ac:dyDescent="0.2">
      <c r="A42" s="311" t="s">
        <v>480</v>
      </c>
      <c r="B42" s="521">
        <v>0</v>
      </c>
      <c r="C42" s="1405">
        <v>0</v>
      </c>
      <c r="D42" s="1405">
        <v>0</v>
      </c>
      <c r="E42" s="459">
        <f t="shared" si="1"/>
        <v>0</v>
      </c>
      <c r="F42" s="62"/>
      <c r="G42" s="63"/>
      <c r="H42" s="63"/>
      <c r="I42" s="64"/>
    </row>
    <row r="43" spans="1:9" s="65" customFormat="1" ht="30" x14ac:dyDescent="0.2">
      <c r="A43" s="311" t="s">
        <v>563</v>
      </c>
      <c r="B43" s="521">
        <v>0</v>
      </c>
      <c r="C43" s="1405">
        <v>0</v>
      </c>
      <c r="D43" s="1405">
        <v>0</v>
      </c>
      <c r="E43" s="459">
        <f t="shared" si="1"/>
        <v>0</v>
      </c>
      <c r="F43" s="62"/>
      <c r="G43" s="63"/>
      <c r="H43" s="63"/>
      <c r="I43" s="64"/>
    </row>
    <row r="44" spans="1:9" s="65" customFormat="1" ht="15" x14ac:dyDescent="0.2">
      <c r="A44" s="311" t="s">
        <v>564</v>
      </c>
      <c r="B44" s="521">
        <v>0</v>
      </c>
      <c r="C44" s="1405">
        <v>0</v>
      </c>
      <c r="D44" s="1405">
        <v>0</v>
      </c>
      <c r="E44" s="459">
        <f t="shared" si="1"/>
        <v>0</v>
      </c>
      <c r="F44" s="62"/>
      <c r="G44" s="63"/>
      <c r="H44" s="63"/>
      <c r="I44" s="64"/>
    </row>
    <row r="45" spans="1:9" s="65" customFormat="1" ht="30" x14ac:dyDescent="0.2">
      <c r="A45" s="311" t="s">
        <v>1057</v>
      </c>
      <c r="B45" s="521">
        <v>0</v>
      </c>
      <c r="C45" s="1405">
        <v>0</v>
      </c>
      <c r="D45" s="1405">
        <v>0</v>
      </c>
      <c r="E45" s="459">
        <f t="shared" si="1"/>
        <v>0</v>
      </c>
      <c r="F45" s="62"/>
      <c r="G45" s="63"/>
      <c r="H45" s="63"/>
      <c r="I45" s="64"/>
    </row>
    <row r="46" spans="1:9" s="65" customFormat="1" ht="30" x14ac:dyDescent="0.2">
      <c r="A46" s="311" t="s">
        <v>565</v>
      </c>
      <c r="B46" s="519">
        <v>24000000</v>
      </c>
      <c r="C46" s="526">
        <v>26733624</v>
      </c>
      <c r="D46" s="526">
        <v>26733624</v>
      </c>
      <c r="E46" s="459">
        <f t="shared" si="1"/>
        <v>0</v>
      </c>
      <c r="F46" s="62"/>
      <c r="G46" s="63"/>
      <c r="H46" s="63"/>
      <c r="I46" s="64"/>
    </row>
    <row r="47" spans="1:9" s="65" customFormat="1" ht="45" x14ac:dyDescent="0.2">
      <c r="A47" s="457" t="s">
        <v>5</v>
      </c>
      <c r="B47" s="521">
        <v>10522996</v>
      </c>
      <c r="C47" s="1405">
        <v>10522996</v>
      </c>
      <c r="D47" s="1405">
        <v>10522996</v>
      </c>
      <c r="E47" s="459">
        <f t="shared" si="1"/>
        <v>0</v>
      </c>
      <c r="F47" s="62"/>
      <c r="G47" s="63"/>
      <c r="H47" s="63"/>
      <c r="I47" s="64"/>
    </row>
    <row r="48" spans="1:9" s="65" customFormat="1" ht="30" x14ac:dyDescent="0.2">
      <c r="A48" s="311" t="s">
        <v>566</v>
      </c>
      <c r="B48" s="521">
        <v>823375902</v>
      </c>
      <c r="C48" s="1405">
        <v>823375902</v>
      </c>
      <c r="D48" s="1405">
        <v>0</v>
      </c>
      <c r="E48" s="459">
        <f t="shared" si="1"/>
        <v>-823375902</v>
      </c>
      <c r="F48" s="62"/>
      <c r="G48" s="63"/>
      <c r="H48" s="63"/>
      <c r="I48" s="64"/>
    </row>
    <row r="49" spans="1:9" s="65" customFormat="1" ht="30" x14ac:dyDescent="0.2">
      <c r="A49" s="457" t="s">
        <v>8</v>
      </c>
      <c r="B49" s="521">
        <v>0</v>
      </c>
      <c r="C49" s="1405">
        <v>0</v>
      </c>
      <c r="D49" s="1405">
        <v>0</v>
      </c>
      <c r="E49" s="459">
        <f t="shared" si="1"/>
        <v>0</v>
      </c>
      <c r="F49" s="62"/>
      <c r="G49" s="63"/>
      <c r="H49" s="63"/>
      <c r="I49" s="64"/>
    </row>
    <row r="50" spans="1:9" s="65" customFormat="1" ht="30" x14ac:dyDescent="0.2">
      <c r="A50" s="457" t="s">
        <v>9</v>
      </c>
      <c r="B50" s="521">
        <v>12106000</v>
      </c>
      <c r="C50" s="1405">
        <v>12106000</v>
      </c>
      <c r="D50" s="1405">
        <v>12106000</v>
      </c>
      <c r="E50" s="459">
        <f t="shared" si="1"/>
        <v>0</v>
      </c>
      <c r="F50" s="62"/>
      <c r="G50" s="63"/>
      <c r="H50" s="63"/>
      <c r="I50" s="64"/>
    </row>
    <row r="51" spans="1:9" s="65" customFormat="1" ht="15" x14ac:dyDescent="0.2">
      <c r="A51" s="457" t="s">
        <v>567</v>
      </c>
      <c r="B51" s="521">
        <v>0</v>
      </c>
      <c r="C51" s="1405">
        <v>0</v>
      </c>
      <c r="D51" s="1405">
        <v>0</v>
      </c>
      <c r="E51" s="459">
        <f t="shared" si="1"/>
        <v>0</v>
      </c>
      <c r="F51" s="62"/>
      <c r="G51" s="63"/>
      <c r="H51" s="63"/>
      <c r="I51" s="64"/>
    </row>
    <row r="52" spans="1:9" s="65" customFormat="1" ht="15" x14ac:dyDescent="0.2">
      <c r="A52" s="457" t="s">
        <v>568</v>
      </c>
      <c r="B52" s="521">
        <v>0</v>
      </c>
      <c r="C52" s="1405">
        <v>0</v>
      </c>
      <c r="D52" s="1405">
        <v>0</v>
      </c>
      <c r="E52" s="459">
        <f t="shared" si="1"/>
        <v>0</v>
      </c>
      <c r="F52" s="62"/>
      <c r="G52" s="63"/>
      <c r="H52" s="63"/>
      <c r="I52" s="64"/>
    </row>
    <row r="53" spans="1:9" s="65" customFormat="1" ht="45" x14ac:dyDescent="0.2">
      <c r="A53" s="457" t="s">
        <v>10</v>
      </c>
      <c r="B53" s="521">
        <v>773196794</v>
      </c>
      <c r="C53" s="1405">
        <v>1023596222</v>
      </c>
      <c r="D53" s="1405">
        <v>1023596222</v>
      </c>
      <c r="E53" s="459">
        <f t="shared" si="1"/>
        <v>0</v>
      </c>
      <c r="F53" s="62"/>
      <c r="G53" s="63"/>
      <c r="H53" s="63"/>
      <c r="I53" s="64"/>
    </row>
    <row r="54" spans="1:9" s="65" customFormat="1" ht="30" x14ac:dyDescent="0.2">
      <c r="A54" s="311" t="s">
        <v>569</v>
      </c>
      <c r="B54" s="521">
        <v>279579774</v>
      </c>
      <c r="C54" s="1405">
        <v>279579774</v>
      </c>
      <c r="D54" s="1405">
        <v>279579774</v>
      </c>
      <c r="E54" s="459">
        <f t="shared" si="1"/>
        <v>0</v>
      </c>
      <c r="F54" s="62"/>
      <c r="G54" s="63"/>
      <c r="H54" s="63"/>
      <c r="I54" s="64"/>
    </row>
    <row r="55" spans="1:9" s="65" customFormat="1" ht="15" x14ac:dyDescent="0.2">
      <c r="A55" s="457" t="s">
        <v>570</v>
      </c>
      <c r="B55" s="521">
        <v>0</v>
      </c>
      <c r="C55" s="1405">
        <v>0</v>
      </c>
      <c r="D55" s="1405">
        <v>0</v>
      </c>
      <c r="E55" s="459">
        <f t="shared" si="1"/>
        <v>0</v>
      </c>
      <c r="F55" s="62"/>
      <c r="G55" s="63"/>
      <c r="H55" s="63"/>
      <c r="I55" s="64"/>
    </row>
    <row r="56" spans="1:9" s="65" customFormat="1" ht="30" x14ac:dyDescent="0.2">
      <c r="A56" s="457" t="s">
        <v>571</v>
      </c>
      <c r="B56" s="521">
        <v>20000000</v>
      </c>
      <c r="C56" s="1405">
        <v>20000000</v>
      </c>
      <c r="D56" s="1405">
        <v>31949602</v>
      </c>
      <c r="E56" s="459">
        <f t="shared" si="1"/>
        <v>11949602</v>
      </c>
      <c r="F56" s="62"/>
      <c r="G56" s="63"/>
      <c r="H56" s="63"/>
      <c r="I56" s="64"/>
    </row>
    <row r="57" spans="1:9" s="65" customFormat="1" ht="30" x14ac:dyDescent="0.2">
      <c r="A57" s="313" t="s">
        <v>506</v>
      </c>
      <c r="B57" s="521">
        <v>0</v>
      </c>
      <c r="C57" s="526">
        <v>0</v>
      </c>
      <c r="D57" s="526">
        <v>0</v>
      </c>
      <c r="E57" s="459">
        <f t="shared" si="1"/>
        <v>0</v>
      </c>
      <c r="F57" s="62"/>
      <c r="G57" s="63"/>
      <c r="H57" s="63"/>
      <c r="I57" s="64"/>
    </row>
    <row r="58" spans="1:9" s="65" customFormat="1" ht="15" x14ac:dyDescent="0.2">
      <c r="A58" s="458" t="s">
        <v>572</v>
      </c>
      <c r="B58" s="521">
        <v>0</v>
      </c>
      <c r="C58" s="1405">
        <v>0</v>
      </c>
      <c r="D58" s="1405">
        <v>0</v>
      </c>
      <c r="E58" s="459">
        <f t="shared" si="1"/>
        <v>0</v>
      </c>
      <c r="F58" s="62"/>
      <c r="G58" s="63"/>
      <c r="H58" s="63"/>
      <c r="I58" s="64"/>
    </row>
    <row r="59" spans="1:9" s="65" customFormat="1" ht="15" x14ac:dyDescent="0.2">
      <c r="A59" s="311" t="s">
        <v>573</v>
      </c>
      <c r="B59" s="521">
        <v>0</v>
      </c>
      <c r="C59" s="1405">
        <v>0</v>
      </c>
      <c r="D59" s="1405">
        <v>0</v>
      </c>
      <c r="E59" s="459">
        <f t="shared" si="1"/>
        <v>0</v>
      </c>
      <c r="F59" s="62"/>
      <c r="G59" s="63"/>
      <c r="H59" s="63"/>
      <c r="I59" s="64"/>
    </row>
    <row r="60" spans="1:9" s="65" customFormat="1" ht="45" x14ac:dyDescent="0.2">
      <c r="A60" s="311" t="s">
        <v>574</v>
      </c>
      <c r="B60" s="521">
        <v>0</v>
      </c>
      <c r="C60" s="1405">
        <v>0</v>
      </c>
      <c r="D60" s="1405">
        <v>0</v>
      </c>
      <c r="E60" s="459">
        <f t="shared" si="1"/>
        <v>0</v>
      </c>
      <c r="F60" s="62"/>
      <c r="G60" s="63"/>
      <c r="H60" s="63"/>
      <c r="I60" s="64"/>
    </row>
    <row r="61" spans="1:9" s="65" customFormat="1" ht="30" x14ac:dyDescent="0.2">
      <c r="A61" s="463" t="s">
        <v>575</v>
      </c>
      <c r="B61" s="521">
        <v>0</v>
      </c>
      <c r="C61" s="1405">
        <v>0</v>
      </c>
      <c r="D61" s="1405">
        <v>0</v>
      </c>
      <c r="E61" s="459">
        <f t="shared" si="1"/>
        <v>0</v>
      </c>
      <c r="F61" s="62"/>
      <c r="G61" s="63"/>
      <c r="H61" s="63"/>
      <c r="I61" s="64"/>
    </row>
    <row r="62" spans="1:9" s="65" customFormat="1" ht="30" x14ac:dyDescent="0.2">
      <c r="A62" s="311" t="s">
        <v>576</v>
      </c>
      <c r="B62" s="519">
        <v>0</v>
      </c>
      <c r="C62" s="526">
        <v>0</v>
      </c>
      <c r="D62" s="526">
        <v>0</v>
      </c>
      <c r="E62" s="459">
        <f t="shared" si="1"/>
        <v>0</v>
      </c>
      <c r="F62" s="62"/>
      <c r="G62" s="63"/>
      <c r="H62" s="63"/>
      <c r="I62" s="64"/>
    </row>
    <row r="63" spans="1:9" s="65" customFormat="1" ht="15" x14ac:dyDescent="0.2">
      <c r="A63" s="222" t="s">
        <v>1001</v>
      </c>
      <c r="B63" s="602">
        <v>185885805</v>
      </c>
      <c r="C63" s="1406">
        <v>181452932</v>
      </c>
      <c r="D63" s="1406">
        <v>181452932</v>
      </c>
      <c r="E63" s="459">
        <f t="shared" si="1"/>
        <v>0</v>
      </c>
      <c r="F63" s="62"/>
      <c r="G63" s="63"/>
      <c r="H63" s="63"/>
      <c r="I63" s="64"/>
    </row>
    <row r="64" spans="1:9" s="65" customFormat="1" ht="15" x14ac:dyDescent="0.2">
      <c r="A64" s="222" t="s">
        <v>577</v>
      </c>
      <c r="B64" s="519">
        <v>109407399</v>
      </c>
      <c r="C64" s="526">
        <v>109407399</v>
      </c>
      <c r="D64" s="526">
        <v>109407399</v>
      </c>
      <c r="E64" s="459">
        <f t="shared" si="1"/>
        <v>0</v>
      </c>
      <c r="F64" s="62"/>
      <c r="G64" s="63"/>
      <c r="H64" s="63"/>
      <c r="I64" s="64"/>
    </row>
    <row r="65" spans="1:9" s="65" customFormat="1" ht="15" x14ac:dyDescent="0.2">
      <c r="A65" s="222" t="s">
        <v>581</v>
      </c>
      <c r="B65" s="519">
        <v>8555970</v>
      </c>
      <c r="C65" s="526">
        <v>8555970</v>
      </c>
      <c r="D65" s="526">
        <v>8555970</v>
      </c>
      <c r="E65" s="459">
        <f t="shared" si="1"/>
        <v>0</v>
      </c>
      <c r="F65" s="62"/>
      <c r="G65" s="63"/>
      <c r="H65" s="63"/>
      <c r="I65" s="64"/>
    </row>
    <row r="66" spans="1:9" s="65" customFormat="1" ht="15" x14ac:dyDescent="0.2">
      <c r="A66" s="458" t="s">
        <v>669</v>
      </c>
      <c r="B66" s="523">
        <v>27452757</v>
      </c>
      <c r="C66" s="634">
        <v>27452757</v>
      </c>
      <c r="D66" s="634">
        <v>27452757</v>
      </c>
      <c r="E66" s="459">
        <f t="shared" si="1"/>
        <v>0</v>
      </c>
      <c r="F66" s="62"/>
      <c r="G66" s="63"/>
      <c r="H66" s="63"/>
      <c r="I66" s="64"/>
    </row>
    <row r="67" spans="1:9" s="65" customFormat="1" ht="15" x14ac:dyDescent="0.2">
      <c r="A67" s="311" t="s">
        <v>584</v>
      </c>
      <c r="B67" s="519">
        <v>2112963</v>
      </c>
      <c r="C67" s="526">
        <v>2112963</v>
      </c>
      <c r="D67" s="526">
        <v>2112963</v>
      </c>
      <c r="E67" s="459">
        <f t="shared" si="1"/>
        <v>0</v>
      </c>
      <c r="F67" s="62"/>
      <c r="G67" s="63"/>
      <c r="H67" s="63"/>
      <c r="I67" s="64"/>
    </row>
    <row r="68" spans="1:9" s="65" customFormat="1" ht="15" x14ac:dyDescent="0.2">
      <c r="A68" s="311" t="s">
        <v>670</v>
      </c>
      <c r="B68" s="519">
        <v>20320000</v>
      </c>
      <c r="C68" s="526">
        <v>20320000</v>
      </c>
      <c r="D68" s="526">
        <v>20320000</v>
      </c>
      <c r="E68" s="459">
        <f t="shared" si="1"/>
        <v>0</v>
      </c>
      <c r="F68" s="62"/>
      <c r="G68" s="63"/>
      <c r="H68" s="63"/>
      <c r="I68" s="64"/>
    </row>
    <row r="69" spans="1:9" s="65" customFormat="1" ht="15" x14ac:dyDescent="0.2">
      <c r="A69" s="311" t="s">
        <v>588</v>
      </c>
      <c r="B69" s="519">
        <v>2877249</v>
      </c>
      <c r="C69" s="526">
        <v>2877249</v>
      </c>
      <c r="D69" s="526">
        <v>2877249</v>
      </c>
      <c r="E69" s="459">
        <f t="shared" si="1"/>
        <v>0</v>
      </c>
      <c r="F69" s="62"/>
      <c r="G69" s="63"/>
      <c r="H69" s="63"/>
      <c r="I69" s="64"/>
    </row>
    <row r="70" spans="1:9" s="65" customFormat="1" ht="15" x14ac:dyDescent="0.2">
      <c r="A70" s="690" t="s">
        <v>671</v>
      </c>
      <c r="B70" s="521">
        <v>45000000</v>
      </c>
      <c r="C70" s="1405">
        <v>45000000</v>
      </c>
      <c r="D70" s="1405">
        <v>45000000</v>
      </c>
      <c r="E70" s="459">
        <f t="shared" si="1"/>
        <v>0</v>
      </c>
      <c r="F70" s="62"/>
      <c r="G70" s="63"/>
      <c r="H70" s="63"/>
      <c r="I70" s="64"/>
    </row>
    <row r="71" spans="1:9" s="65" customFormat="1" ht="15" x14ac:dyDescent="0.2">
      <c r="A71" s="690" t="s">
        <v>672</v>
      </c>
      <c r="B71" s="521">
        <v>21000000</v>
      </c>
      <c r="C71" s="1405">
        <v>21000000</v>
      </c>
      <c r="D71" s="1405">
        <v>21000000</v>
      </c>
      <c r="E71" s="459">
        <f t="shared" si="1"/>
        <v>0</v>
      </c>
      <c r="F71" s="62"/>
      <c r="G71" s="63"/>
      <c r="H71" s="63"/>
      <c r="I71" s="64"/>
    </row>
    <row r="72" spans="1:9" s="65" customFormat="1" ht="15" x14ac:dyDescent="0.2">
      <c r="A72" s="690" t="s">
        <v>673</v>
      </c>
      <c r="B72" s="521">
        <v>25000000</v>
      </c>
      <c r="C72" s="1405">
        <v>25000000</v>
      </c>
      <c r="D72" s="1405">
        <v>25000000</v>
      </c>
      <c r="E72" s="459">
        <f t="shared" si="1"/>
        <v>0</v>
      </c>
      <c r="F72" s="62"/>
      <c r="G72" s="63"/>
      <c r="H72" s="63"/>
      <c r="I72" s="64"/>
    </row>
    <row r="73" spans="1:9" s="65" customFormat="1" ht="15" x14ac:dyDescent="0.2">
      <c r="A73" s="690" t="s">
        <v>674</v>
      </c>
      <c r="B73" s="521">
        <v>45590000</v>
      </c>
      <c r="C73" s="1405">
        <v>45590000</v>
      </c>
      <c r="D73" s="1405">
        <v>45590000</v>
      </c>
      <c r="E73" s="459">
        <f t="shared" si="1"/>
        <v>0</v>
      </c>
      <c r="F73" s="62"/>
      <c r="G73" s="63"/>
      <c r="H73" s="63"/>
      <c r="I73" s="64"/>
    </row>
    <row r="74" spans="1:9" s="65" customFormat="1" ht="15.75" thickBot="1" x14ac:dyDescent="0.25">
      <c r="A74" s="532" t="s">
        <v>675</v>
      </c>
      <c r="B74" s="520">
        <v>32980000</v>
      </c>
      <c r="C74" s="1398">
        <v>32980000</v>
      </c>
      <c r="D74" s="1398">
        <v>32980000</v>
      </c>
      <c r="E74" s="632">
        <f t="shared" si="1"/>
        <v>0</v>
      </c>
      <c r="F74" s="62"/>
      <c r="G74" s="63"/>
      <c r="H74" s="63"/>
      <c r="I74" s="64"/>
    </row>
    <row r="75" spans="1:9" s="65" customFormat="1" ht="45.75" thickBot="1" x14ac:dyDescent="0.25">
      <c r="A75" s="531" t="s">
        <v>86</v>
      </c>
      <c r="B75" s="1294" t="s">
        <v>660</v>
      </c>
      <c r="C75" s="390" t="s">
        <v>1021</v>
      </c>
      <c r="D75" s="390" t="s">
        <v>1111</v>
      </c>
      <c r="E75" s="391" t="s">
        <v>987</v>
      </c>
      <c r="F75" s="62"/>
      <c r="G75" s="63"/>
      <c r="H75" s="63"/>
      <c r="I75" s="64"/>
    </row>
    <row r="76" spans="1:9" s="65" customFormat="1" ht="45" x14ac:dyDescent="0.2">
      <c r="A76" s="633" t="s">
        <v>610</v>
      </c>
      <c r="B76" s="600">
        <v>27535688</v>
      </c>
      <c r="C76" s="1403">
        <v>27535688</v>
      </c>
      <c r="D76" s="1403">
        <v>27535688</v>
      </c>
      <c r="E76" s="674">
        <f t="shared" ref="E76:E96" si="2">D76-C76</f>
        <v>0</v>
      </c>
      <c r="F76" s="62"/>
      <c r="G76" s="63"/>
      <c r="H76" s="63"/>
      <c r="I76" s="64"/>
    </row>
    <row r="77" spans="1:9" s="65" customFormat="1" ht="15" x14ac:dyDescent="0.2">
      <c r="A77" s="311" t="s">
        <v>601</v>
      </c>
      <c r="B77" s="519">
        <v>321590000</v>
      </c>
      <c r="C77" s="526">
        <v>321590000</v>
      </c>
      <c r="D77" s="526">
        <v>321590000</v>
      </c>
      <c r="E77" s="459">
        <f t="shared" si="2"/>
        <v>0</v>
      </c>
      <c r="F77" s="62"/>
      <c r="G77" s="63"/>
      <c r="H77" s="63"/>
      <c r="I77" s="64"/>
    </row>
    <row r="78" spans="1:9" s="65" customFormat="1" ht="45" x14ac:dyDescent="0.2">
      <c r="A78" s="572" t="s">
        <v>614</v>
      </c>
      <c r="B78" s="519">
        <v>999966</v>
      </c>
      <c r="C78" s="526">
        <v>999966</v>
      </c>
      <c r="D78" s="526">
        <v>999966</v>
      </c>
      <c r="E78" s="459">
        <f t="shared" si="2"/>
        <v>0</v>
      </c>
      <c r="F78" s="62"/>
      <c r="G78" s="63"/>
      <c r="H78" s="63"/>
      <c r="I78" s="64"/>
    </row>
    <row r="79" spans="1:9" s="65" customFormat="1" ht="30" x14ac:dyDescent="0.2">
      <c r="A79" s="572" t="s">
        <v>641</v>
      </c>
      <c r="B79" s="519">
        <v>444500</v>
      </c>
      <c r="C79" s="526">
        <v>444500</v>
      </c>
      <c r="D79" s="526">
        <v>444500</v>
      </c>
      <c r="E79" s="459">
        <f t="shared" si="2"/>
        <v>0</v>
      </c>
      <c r="F79" s="62"/>
      <c r="G79" s="63"/>
      <c r="H79" s="63"/>
      <c r="I79" s="64"/>
    </row>
    <row r="80" spans="1:9" s="65" customFormat="1" ht="15" x14ac:dyDescent="0.2">
      <c r="A80" s="645" t="s">
        <v>643</v>
      </c>
      <c r="B80" s="519">
        <v>2000000</v>
      </c>
      <c r="C80" s="526">
        <v>2000000</v>
      </c>
      <c r="D80" s="526">
        <v>2000000</v>
      </c>
      <c r="E80" s="459">
        <f t="shared" si="2"/>
        <v>0</v>
      </c>
      <c r="F80" s="62"/>
      <c r="G80" s="63"/>
      <c r="H80" s="63"/>
      <c r="I80" s="64"/>
    </row>
    <row r="81" spans="1:9" s="65" customFormat="1" ht="15" x14ac:dyDescent="0.2">
      <c r="A81" s="645" t="s">
        <v>644</v>
      </c>
      <c r="B81" s="519">
        <v>2481115</v>
      </c>
      <c r="C81" s="526">
        <v>2481115</v>
      </c>
      <c r="D81" s="526">
        <v>2481115</v>
      </c>
      <c r="E81" s="459">
        <f t="shared" si="2"/>
        <v>0</v>
      </c>
      <c r="F81" s="62"/>
      <c r="G81" s="63"/>
      <c r="H81" s="63"/>
      <c r="I81" s="64"/>
    </row>
    <row r="82" spans="1:9" s="65" customFormat="1" ht="30" x14ac:dyDescent="0.2">
      <c r="A82" s="645" t="s">
        <v>676</v>
      </c>
      <c r="B82" s="519">
        <v>11000000</v>
      </c>
      <c r="C82" s="526">
        <v>11000000</v>
      </c>
      <c r="D82" s="526">
        <v>11000000</v>
      </c>
      <c r="E82" s="459">
        <f t="shared" si="2"/>
        <v>0</v>
      </c>
      <c r="F82" s="62"/>
      <c r="G82" s="63"/>
      <c r="H82" s="63"/>
      <c r="I82" s="64"/>
    </row>
    <row r="83" spans="1:9" s="65" customFormat="1" ht="15" x14ac:dyDescent="0.2">
      <c r="A83" s="572" t="s">
        <v>703</v>
      </c>
      <c r="B83" s="519">
        <v>20000000</v>
      </c>
      <c r="C83" s="526">
        <v>20000000</v>
      </c>
      <c r="D83" s="526">
        <v>20000000</v>
      </c>
      <c r="E83" s="459">
        <f t="shared" si="2"/>
        <v>0</v>
      </c>
      <c r="F83" s="62"/>
      <c r="G83" s="63"/>
      <c r="H83" s="63"/>
      <c r="I83" s="64"/>
    </row>
    <row r="84" spans="1:9" s="65" customFormat="1" ht="30" x14ac:dyDescent="0.2">
      <c r="A84" s="311" t="s">
        <v>603</v>
      </c>
      <c r="B84" s="257">
        <v>75846433</v>
      </c>
      <c r="C84" s="206">
        <v>75846433</v>
      </c>
      <c r="D84" s="206">
        <v>75846433</v>
      </c>
      <c r="E84" s="459">
        <f t="shared" si="2"/>
        <v>0</v>
      </c>
      <c r="F84" s="62"/>
      <c r="G84" s="63"/>
      <c r="H84" s="63"/>
      <c r="I84" s="64"/>
    </row>
    <row r="85" spans="1:9" s="65" customFormat="1" ht="15" x14ac:dyDescent="0.2">
      <c r="A85" s="311" t="s">
        <v>606</v>
      </c>
      <c r="B85" s="257">
        <v>229426923</v>
      </c>
      <c r="C85" s="206">
        <v>184466256</v>
      </c>
      <c r="D85" s="206">
        <v>184466256</v>
      </c>
      <c r="E85" s="459">
        <f t="shared" si="2"/>
        <v>0</v>
      </c>
      <c r="F85" s="62"/>
      <c r="G85" s="63"/>
      <c r="H85" s="63"/>
      <c r="I85" s="64"/>
    </row>
    <row r="86" spans="1:9" s="65" customFormat="1" ht="30" x14ac:dyDescent="0.2">
      <c r="A86" s="311" t="s">
        <v>623</v>
      </c>
      <c r="B86" s="257">
        <v>40000000</v>
      </c>
      <c r="C86" s="206">
        <v>40000000</v>
      </c>
      <c r="D86" s="206">
        <v>40000000</v>
      </c>
      <c r="E86" s="459">
        <f t="shared" si="2"/>
        <v>0</v>
      </c>
      <c r="F86" s="62"/>
      <c r="G86" s="63"/>
      <c r="H86" s="63"/>
      <c r="I86" s="64"/>
    </row>
    <row r="87" spans="1:9" s="65" customFormat="1" ht="15" x14ac:dyDescent="0.2">
      <c r="A87" s="311" t="s">
        <v>608</v>
      </c>
      <c r="B87" s="257">
        <v>677437</v>
      </c>
      <c r="C87" s="206">
        <v>677437</v>
      </c>
      <c r="D87" s="206">
        <v>677437</v>
      </c>
      <c r="E87" s="459">
        <f t="shared" si="2"/>
        <v>0</v>
      </c>
      <c r="F87" s="62"/>
      <c r="G87" s="63"/>
      <c r="H87" s="63"/>
      <c r="I87" s="64"/>
    </row>
    <row r="88" spans="1:9" s="65" customFormat="1" ht="15" x14ac:dyDescent="0.2">
      <c r="A88" s="311" t="s">
        <v>589</v>
      </c>
      <c r="B88" s="519">
        <v>1311200</v>
      </c>
      <c r="C88" s="526">
        <v>1311200</v>
      </c>
      <c r="D88" s="526">
        <v>1311200</v>
      </c>
      <c r="E88" s="459">
        <f t="shared" si="2"/>
        <v>0</v>
      </c>
      <c r="F88" s="62"/>
      <c r="G88" s="63"/>
      <c r="H88" s="63"/>
      <c r="I88" s="64"/>
    </row>
    <row r="89" spans="1:9" s="65" customFormat="1" ht="30" x14ac:dyDescent="0.2">
      <c r="A89" s="311" t="s">
        <v>590</v>
      </c>
      <c r="B89" s="257">
        <v>29998700</v>
      </c>
      <c r="C89" s="206">
        <v>29998700</v>
      </c>
      <c r="D89" s="206">
        <v>29998700</v>
      </c>
      <c r="E89" s="459">
        <f t="shared" si="2"/>
        <v>0</v>
      </c>
      <c r="F89" s="62"/>
      <c r="G89" s="63"/>
      <c r="H89" s="63"/>
      <c r="I89" s="64"/>
    </row>
    <row r="90" spans="1:9" s="65" customFormat="1" ht="15" x14ac:dyDescent="0.2">
      <c r="A90" s="311" t="s">
        <v>607</v>
      </c>
      <c r="B90" s="257">
        <v>12725400</v>
      </c>
      <c r="C90" s="206">
        <v>12725400</v>
      </c>
      <c r="D90" s="206">
        <v>12725400</v>
      </c>
      <c r="E90" s="459">
        <f t="shared" si="2"/>
        <v>0</v>
      </c>
      <c r="F90" s="62"/>
      <c r="G90" s="63"/>
      <c r="H90" s="63"/>
      <c r="I90" s="64"/>
    </row>
    <row r="91" spans="1:9" s="65" customFormat="1" ht="15" x14ac:dyDescent="0.2">
      <c r="A91" s="690" t="s">
        <v>677</v>
      </c>
      <c r="B91" s="691">
        <v>803783</v>
      </c>
      <c r="C91" s="1407">
        <v>803783</v>
      </c>
      <c r="D91" s="1407">
        <v>803783</v>
      </c>
      <c r="E91" s="459">
        <f t="shared" si="2"/>
        <v>0</v>
      </c>
      <c r="F91" s="62"/>
      <c r="G91" s="63"/>
      <c r="H91" s="63"/>
      <c r="I91" s="64"/>
    </row>
    <row r="92" spans="1:9" s="65" customFormat="1" ht="15" x14ac:dyDescent="0.2">
      <c r="A92" s="311" t="s">
        <v>585</v>
      </c>
      <c r="B92" s="519">
        <v>11980507</v>
      </c>
      <c r="C92" s="526">
        <v>11354810</v>
      </c>
      <c r="D92" s="526">
        <v>11354810</v>
      </c>
      <c r="E92" s="459">
        <f t="shared" si="2"/>
        <v>0</v>
      </c>
      <c r="F92" s="62"/>
      <c r="G92" s="63"/>
      <c r="H92" s="63"/>
      <c r="I92" s="64"/>
    </row>
    <row r="93" spans="1:9" s="65" customFormat="1" ht="15" x14ac:dyDescent="0.2">
      <c r="A93" s="690" t="s">
        <v>1047</v>
      </c>
      <c r="B93" s="521"/>
      <c r="C93" s="691">
        <v>974947</v>
      </c>
      <c r="D93" s="691">
        <v>974947</v>
      </c>
      <c r="E93" s="459">
        <f t="shared" si="2"/>
        <v>0</v>
      </c>
      <c r="F93" s="62"/>
      <c r="G93" s="63"/>
      <c r="H93" s="63"/>
      <c r="I93" s="64"/>
    </row>
    <row r="94" spans="1:9" s="65" customFormat="1" ht="15" x14ac:dyDescent="0.2">
      <c r="A94" s="690"/>
      <c r="B94" s="521"/>
      <c r="C94" s="691"/>
      <c r="D94" s="691"/>
      <c r="E94" s="459">
        <f t="shared" si="2"/>
        <v>0</v>
      </c>
      <c r="F94" s="62"/>
      <c r="G94" s="63"/>
      <c r="H94" s="63"/>
      <c r="I94" s="64"/>
    </row>
    <row r="95" spans="1:9" s="65" customFormat="1" ht="15" x14ac:dyDescent="0.2">
      <c r="A95" s="690"/>
      <c r="B95" s="521"/>
      <c r="C95" s="691"/>
      <c r="D95" s="691"/>
      <c r="E95" s="459">
        <f t="shared" si="2"/>
        <v>0</v>
      </c>
      <c r="F95" s="62"/>
      <c r="G95" s="63"/>
      <c r="H95" s="63"/>
      <c r="I95" s="64"/>
    </row>
    <row r="96" spans="1:9" s="65" customFormat="1" ht="15" x14ac:dyDescent="0.2">
      <c r="A96" s="690"/>
      <c r="B96" s="521"/>
      <c r="C96" s="521"/>
      <c r="D96" s="521"/>
      <c r="E96" s="459">
        <f t="shared" si="2"/>
        <v>0</v>
      </c>
      <c r="F96" s="62"/>
      <c r="G96" s="63"/>
      <c r="H96" s="63"/>
      <c r="I96" s="64"/>
    </row>
    <row r="97" spans="1:9" s="65" customFormat="1" ht="24" customHeight="1" thickBot="1" x14ac:dyDescent="0.3">
      <c r="A97" s="220" t="s">
        <v>216</v>
      </c>
      <c r="B97" s="322">
        <f>SUM(B8:B96)</f>
        <v>3444241983</v>
      </c>
      <c r="C97" s="207">
        <f>SUM(C8:C96)</f>
        <v>3648552995</v>
      </c>
      <c r="D97" s="207">
        <f>SUM(D8:D96)</f>
        <v>2839031695</v>
      </c>
      <c r="E97" s="1624">
        <f>SUM(E8:E96)</f>
        <v>-809521300</v>
      </c>
      <c r="F97" s="56"/>
      <c r="G97" s="63"/>
      <c r="H97" s="63"/>
      <c r="I97" s="64"/>
    </row>
    <row r="98" spans="1:9" s="65" customFormat="1" ht="42" customHeight="1" thickBot="1" x14ac:dyDescent="0.25">
      <c r="A98" s="374" t="s">
        <v>86</v>
      </c>
      <c r="B98" s="556" t="s">
        <v>660</v>
      </c>
      <c r="C98" s="390" t="s">
        <v>1021</v>
      </c>
      <c r="D98" s="390" t="s">
        <v>1111</v>
      </c>
      <c r="E98" s="391" t="s">
        <v>987</v>
      </c>
      <c r="F98" s="56"/>
      <c r="G98" s="63"/>
      <c r="H98" s="63"/>
      <c r="I98" s="64"/>
    </row>
    <row r="99" spans="1:9" s="65" customFormat="1" ht="24" customHeight="1" x14ac:dyDescent="0.25">
      <c r="A99" s="82" t="s">
        <v>363</v>
      </c>
      <c r="B99" s="522"/>
      <c r="C99" s="601"/>
      <c r="D99" s="601"/>
      <c r="E99" s="675"/>
      <c r="F99" s="56"/>
      <c r="G99" s="63"/>
      <c r="H99" s="63"/>
      <c r="I99" s="64"/>
    </row>
    <row r="100" spans="1:9" s="65" customFormat="1" ht="18" customHeight="1" x14ac:dyDescent="0.2">
      <c r="A100" s="221" t="s">
        <v>707</v>
      </c>
      <c r="B100" s="602">
        <v>15000000</v>
      </c>
      <c r="C100" s="1406">
        <v>5346730</v>
      </c>
      <c r="D100" s="1406">
        <v>1466730</v>
      </c>
      <c r="E100" s="459">
        <f t="shared" ref="E100:E129" si="3">D100-C100</f>
        <v>-3880000</v>
      </c>
      <c r="F100" s="62"/>
      <c r="G100" s="63"/>
      <c r="H100" s="63"/>
      <c r="I100" s="64"/>
    </row>
    <row r="101" spans="1:9" s="65" customFormat="1" ht="18" customHeight="1" x14ac:dyDescent="0.2">
      <c r="A101" s="720" t="s">
        <v>708</v>
      </c>
      <c r="B101" s="602">
        <v>10000000</v>
      </c>
      <c r="C101" s="1406">
        <v>5393000</v>
      </c>
      <c r="D101" s="1406">
        <v>166958</v>
      </c>
      <c r="E101" s="459">
        <f t="shared" si="3"/>
        <v>-5226042</v>
      </c>
      <c r="F101" s="62"/>
      <c r="G101" s="63"/>
      <c r="H101" s="63"/>
      <c r="I101" s="64"/>
    </row>
    <row r="102" spans="1:9" s="65" customFormat="1" ht="18" customHeight="1" x14ac:dyDescent="0.2">
      <c r="A102" s="690" t="s">
        <v>678</v>
      </c>
      <c r="B102" s="602">
        <v>43650000</v>
      </c>
      <c r="C102" s="1406">
        <v>43650000</v>
      </c>
      <c r="D102" s="1406">
        <v>43650000</v>
      </c>
      <c r="E102" s="459">
        <f t="shared" si="3"/>
        <v>0</v>
      </c>
      <c r="F102" s="62"/>
      <c r="G102" s="63"/>
      <c r="H102" s="63"/>
      <c r="I102" s="64"/>
    </row>
    <row r="103" spans="1:9" s="65" customFormat="1" ht="18" customHeight="1" x14ac:dyDescent="0.2">
      <c r="A103" s="690" t="s">
        <v>679</v>
      </c>
      <c r="B103" s="602">
        <v>43650000</v>
      </c>
      <c r="C103" s="1406">
        <v>43650000</v>
      </c>
      <c r="D103" s="1406">
        <v>43650000</v>
      </c>
      <c r="E103" s="459">
        <f t="shared" si="3"/>
        <v>0</v>
      </c>
      <c r="F103" s="62"/>
      <c r="G103" s="63"/>
      <c r="H103" s="63"/>
      <c r="I103" s="64"/>
    </row>
    <row r="104" spans="1:9" s="65" customFormat="1" ht="18" customHeight="1" x14ac:dyDescent="0.2">
      <c r="A104" s="572" t="s">
        <v>680</v>
      </c>
      <c r="B104" s="602">
        <v>45590000</v>
      </c>
      <c r="C104" s="1406">
        <v>45590000</v>
      </c>
      <c r="D104" s="1406">
        <v>45590000</v>
      </c>
      <c r="E104" s="459">
        <f t="shared" si="3"/>
        <v>0</v>
      </c>
      <c r="F104" s="62"/>
      <c r="G104" s="63"/>
      <c r="H104" s="63"/>
      <c r="I104" s="64"/>
    </row>
    <row r="105" spans="1:9" s="65" customFormat="1" ht="45" x14ac:dyDescent="0.2">
      <c r="A105" s="222" t="s">
        <v>640</v>
      </c>
      <c r="B105" s="602">
        <v>14219202</v>
      </c>
      <c r="C105" s="1406">
        <v>14371602</v>
      </c>
      <c r="D105" s="1406">
        <v>14371602</v>
      </c>
      <c r="E105" s="459">
        <f t="shared" si="3"/>
        <v>0</v>
      </c>
      <c r="F105" s="62"/>
      <c r="G105" s="63"/>
      <c r="H105" s="63"/>
      <c r="I105" s="64"/>
    </row>
    <row r="106" spans="1:9" s="65" customFormat="1" ht="15" x14ac:dyDescent="0.2">
      <c r="A106" s="222" t="s">
        <v>578</v>
      </c>
      <c r="B106" s="519">
        <v>30000000</v>
      </c>
      <c r="C106" s="526">
        <v>20000000</v>
      </c>
      <c r="D106" s="526">
        <v>20000000</v>
      </c>
      <c r="E106" s="459">
        <f t="shared" si="3"/>
        <v>0</v>
      </c>
      <c r="F106" s="62"/>
      <c r="G106" s="63"/>
      <c r="H106" s="63"/>
      <c r="I106" s="64"/>
    </row>
    <row r="107" spans="1:9" s="65" customFormat="1" ht="18" customHeight="1" x14ac:dyDescent="0.2">
      <c r="A107" s="222" t="s">
        <v>579</v>
      </c>
      <c r="B107" s="519"/>
      <c r="C107" s="526"/>
      <c r="D107" s="526"/>
      <c r="E107" s="459">
        <f t="shared" si="3"/>
        <v>0</v>
      </c>
      <c r="F107" s="62"/>
      <c r="G107" s="63"/>
      <c r="H107" s="63"/>
      <c r="I107" s="64"/>
    </row>
    <row r="108" spans="1:9" s="65" customFormat="1" ht="18" customHeight="1" x14ac:dyDescent="0.2">
      <c r="A108" s="222" t="s">
        <v>580</v>
      </c>
      <c r="B108" s="519">
        <v>8000000</v>
      </c>
      <c r="C108" s="526">
        <v>8000000</v>
      </c>
      <c r="D108" s="526">
        <v>8000000</v>
      </c>
      <c r="E108" s="459">
        <f t="shared" si="3"/>
        <v>0</v>
      </c>
      <c r="F108" s="62"/>
      <c r="G108" s="63"/>
      <c r="H108" s="63"/>
      <c r="I108" s="64"/>
    </row>
    <row r="109" spans="1:9" s="65" customFormat="1" ht="18" customHeight="1" x14ac:dyDescent="0.2">
      <c r="A109" s="222" t="s">
        <v>709</v>
      </c>
      <c r="B109" s="519">
        <v>6000000</v>
      </c>
      <c r="C109" s="526">
        <v>6000000</v>
      </c>
      <c r="D109" s="526">
        <v>6000000</v>
      </c>
      <c r="E109" s="459">
        <f t="shared" si="3"/>
        <v>0</v>
      </c>
      <c r="F109" s="62"/>
      <c r="G109" s="63"/>
      <c r="H109" s="63"/>
      <c r="I109" s="64"/>
    </row>
    <row r="110" spans="1:9" s="65" customFormat="1" ht="15" x14ac:dyDescent="0.2">
      <c r="A110" s="633" t="s">
        <v>710</v>
      </c>
      <c r="B110" s="523">
        <v>4000000</v>
      </c>
      <c r="C110" s="634">
        <v>4000000</v>
      </c>
      <c r="D110" s="634">
        <v>4000000</v>
      </c>
      <c r="E110" s="459">
        <f t="shared" si="3"/>
        <v>0</v>
      </c>
      <c r="F110" s="62"/>
      <c r="G110" s="63"/>
      <c r="H110" s="63"/>
      <c r="I110" s="64"/>
    </row>
    <row r="111" spans="1:9" s="65" customFormat="1" ht="16.5" customHeight="1" x14ac:dyDescent="0.2">
      <c r="A111" s="721" t="s">
        <v>711</v>
      </c>
      <c r="B111" s="519">
        <v>6000000</v>
      </c>
      <c r="C111" s="526">
        <v>6000000</v>
      </c>
      <c r="D111" s="526">
        <v>6000000</v>
      </c>
      <c r="E111" s="459">
        <f t="shared" si="3"/>
        <v>0</v>
      </c>
      <c r="F111" s="62"/>
      <c r="G111" s="63"/>
      <c r="H111" s="63"/>
      <c r="I111" s="64"/>
    </row>
    <row r="112" spans="1:9" s="65" customFormat="1" ht="16.5" customHeight="1" x14ac:dyDescent="0.2">
      <c r="A112" s="722" t="s">
        <v>712</v>
      </c>
      <c r="B112" s="519">
        <v>13000000</v>
      </c>
      <c r="C112" s="526">
        <v>13000000</v>
      </c>
      <c r="D112" s="526">
        <v>0</v>
      </c>
      <c r="E112" s="459">
        <f t="shared" si="3"/>
        <v>-13000000</v>
      </c>
      <c r="F112" s="62"/>
      <c r="G112" s="63"/>
      <c r="H112" s="63"/>
      <c r="I112" s="64"/>
    </row>
    <row r="113" spans="1:9" s="65" customFormat="1" ht="16.5" customHeight="1" x14ac:dyDescent="0.2">
      <c r="A113" s="722" t="s">
        <v>1125</v>
      </c>
      <c r="B113" s="519"/>
      <c r="C113" s="526"/>
      <c r="D113" s="526">
        <v>3152140</v>
      </c>
      <c r="E113" s="459">
        <f t="shared" si="3"/>
        <v>3152140</v>
      </c>
      <c r="F113" s="62"/>
      <c r="G113" s="63"/>
      <c r="H113" s="63"/>
      <c r="I113" s="64"/>
    </row>
    <row r="114" spans="1:9" s="65" customFormat="1" ht="16.5" customHeight="1" x14ac:dyDescent="0.2">
      <c r="A114" s="722" t="s">
        <v>713</v>
      </c>
      <c r="B114" s="519">
        <v>8000000</v>
      </c>
      <c r="C114" s="526">
        <v>8000000</v>
      </c>
      <c r="D114" s="526">
        <v>0</v>
      </c>
      <c r="E114" s="459">
        <f t="shared" si="3"/>
        <v>-8000000</v>
      </c>
      <c r="F114" s="62"/>
      <c r="G114" s="63"/>
      <c r="H114" s="63"/>
      <c r="I114" s="64"/>
    </row>
    <row r="115" spans="1:9" s="65" customFormat="1" ht="16.5" customHeight="1" x14ac:dyDescent="0.2">
      <c r="A115" s="722" t="s">
        <v>714</v>
      </c>
      <c r="B115" s="519">
        <v>30000000</v>
      </c>
      <c r="C115" s="526">
        <v>30000000</v>
      </c>
      <c r="D115" s="526">
        <v>1968500</v>
      </c>
      <c r="E115" s="459">
        <f t="shared" si="3"/>
        <v>-28031500</v>
      </c>
      <c r="F115" s="62"/>
      <c r="G115" s="63"/>
      <c r="H115" s="63"/>
      <c r="I115" s="64"/>
    </row>
    <row r="116" spans="1:9" s="65" customFormat="1" ht="16.5" customHeight="1" x14ac:dyDescent="0.2">
      <c r="A116" s="722" t="s">
        <v>1126</v>
      </c>
      <c r="B116" s="519"/>
      <c r="C116" s="526"/>
      <c r="D116" s="526">
        <v>62108500</v>
      </c>
      <c r="E116" s="459">
        <f t="shared" si="3"/>
        <v>62108500</v>
      </c>
      <c r="F116" s="62"/>
      <c r="G116" s="63"/>
      <c r="H116" s="63"/>
      <c r="I116" s="64"/>
    </row>
    <row r="117" spans="1:9" s="65" customFormat="1" ht="16.5" customHeight="1" x14ac:dyDescent="0.2">
      <c r="A117" s="722" t="s">
        <v>715</v>
      </c>
      <c r="B117" s="519">
        <v>35000000</v>
      </c>
      <c r="C117" s="526">
        <v>27453400</v>
      </c>
      <c r="D117" s="526">
        <v>5450650</v>
      </c>
      <c r="E117" s="459">
        <f t="shared" si="3"/>
        <v>-22002750</v>
      </c>
      <c r="F117" s="62"/>
      <c r="G117" s="63"/>
      <c r="H117" s="63"/>
      <c r="I117" s="64"/>
    </row>
    <row r="118" spans="1:9" s="65" customFormat="1" ht="16.5" customHeight="1" x14ac:dyDescent="0.2">
      <c r="A118" s="311" t="s">
        <v>586</v>
      </c>
      <c r="B118" s="519">
        <v>4000000</v>
      </c>
      <c r="C118" s="526">
        <v>4000000</v>
      </c>
      <c r="D118" s="526">
        <v>4000000</v>
      </c>
      <c r="E118" s="459">
        <f t="shared" si="3"/>
        <v>0</v>
      </c>
      <c r="F118" s="62"/>
      <c r="G118" s="63"/>
      <c r="H118" s="63"/>
      <c r="I118" s="64"/>
    </row>
    <row r="119" spans="1:9" s="65" customFormat="1" ht="16.5" customHeight="1" x14ac:dyDescent="0.2">
      <c r="A119" s="311" t="s">
        <v>587</v>
      </c>
      <c r="B119" s="519">
        <v>10000000</v>
      </c>
      <c r="C119" s="526">
        <v>10000000</v>
      </c>
      <c r="D119" s="526">
        <v>10000000</v>
      </c>
      <c r="E119" s="459">
        <f t="shared" si="3"/>
        <v>0</v>
      </c>
      <c r="F119" s="62"/>
      <c r="G119" s="63"/>
      <c r="H119" s="63"/>
      <c r="I119" s="64"/>
    </row>
    <row r="120" spans="1:9" s="65" customFormat="1" ht="15" x14ac:dyDescent="0.2">
      <c r="A120" s="633" t="s">
        <v>716</v>
      </c>
      <c r="B120" s="523">
        <v>17000000</v>
      </c>
      <c r="C120" s="634">
        <v>8104221</v>
      </c>
      <c r="D120" s="634">
        <v>449814</v>
      </c>
      <c r="E120" s="459">
        <f t="shared" si="3"/>
        <v>-7654407</v>
      </c>
      <c r="F120" s="62"/>
      <c r="G120" s="63"/>
      <c r="H120" s="63"/>
      <c r="I120" s="64"/>
    </row>
    <row r="121" spans="1:9" s="65" customFormat="1" ht="15" x14ac:dyDescent="0.2">
      <c r="A121" s="633" t="s">
        <v>1048</v>
      </c>
      <c r="B121" s="523"/>
      <c r="C121" s="634">
        <v>2962021</v>
      </c>
      <c r="D121" s="634">
        <v>2962021</v>
      </c>
      <c r="E121" s="459">
        <f t="shared" si="3"/>
        <v>0</v>
      </c>
      <c r="F121" s="62"/>
      <c r="G121" s="63"/>
      <c r="H121" s="63"/>
      <c r="I121" s="64"/>
    </row>
    <row r="122" spans="1:9" s="65" customFormat="1" ht="15" x14ac:dyDescent="0.2">
      <c r="A122" s="633" t="s">
        <v>1049</v>
      </c>
      <c r="B122" s="523"/>
      <c r="C122" s="634">
        <v>5933758</v>
      </c>
      <c r="D122" s="634">
        <v>5933758</v>
      </c>
      <c r="E122" s="459">
        <f t="shared" si="3"/>
        <v>0</v>
      </c>
      <c r="F122" s="62"/>
      <c r="G122" s="63"/>
      <c r="H122" s="63"/>
      <c r="I122" s="64"/>
    </row>
    <row r="123" spans="1:9" s="65" customFormat="1" ht="30" x14ac:dyDescent="0.2">
      <c r="A123" s="633" t="s">
        <v>642</v>
      </c>
      <c r="B123" s="523">
        <v>1115435742</v>
      </c>
      <c r="C123" s="634">
        <v>1115435742</v>
      </c>
      <c r="D123" s="634">
        <v>1115435742</v>
      </c>
      <c r="E123" s="459">
        <f t="shared" si="3"/>
        <v>0</v>
      </c>
      <c r="F123" s="62"/>
      <c r="G123" s="63"/>
      <c r="H123" s="63"/>
      <c r="I123" s="64"/>
    </row>
    <row r="124" spans="1:9" s="65" customFormat="1" ht="30" x14ac:dyDescent="0.2">
      <c r="A124" s="458" t="s">
        <v>6</v>
      </c>
      <c r="B124" s="523">
        <v>601785000</v>
      </c>
      <c r="C124" s="634">
        <v>601785000</v>
      </c>
      <c r="D124" s="634">
        <v>617633330</v>
      </c>
      <c r="E124" s="459">
        <f t="shared" si="3"/>
        <v>15848330</v>
      </c>
      <c r="F124" s="62"/>
      <c r="G124" s="63"/>
      <c r="H124" s="63"/>
      <c r="I124" s="64"/>
    </row>
    <row r="125" spans="1:9" s="65" customFormat="1" ht="15" x14ac:dyDescent="0.2">
      <c r="A125" s="458" t="s">
        <v>681</v>
      </c>
      <c r="B125" s="523">
        <v>25500000</v>
      </c>
      <c r="C125" s="634">
        <v>25500000</v>
      </c>
      <c r="D125" s="634">
        <v>25500000</v>
      </c>
      <c r="E125" s="459">
        <f t="shared" si="3"/>
        <v>0</v>
      </c>
      <c r="F125" s="62"/>
      <c r="G125" s="63"/>
      <c r="H125" s="63"/>
      <c r="I125" s="64"/>
    </row>
    <row r="126" spans="1:9" s="65" customFormat="1" ht="15" x14ac:dyDescent="0.2">
      <c r="A126" s="458" t="s">
        <v>582</v>
      </c>
      <c r="B126" s="523">
        <v>11000000</v>
      </c>
      <c r="C126" s="634">
        <v>11000000</v>
      </c>
      <c r="D126" s="634">
        <v>9800000</v>
      </c>
      <c r="E126" s="459">
        <f t="shared" si="3"/>
        <v>-1200000</v>
      </c>
      <c r="F126" s="62"/>
      <c r="G126" s="63"/>
      <c r="H126" s="63"/>
      <c r="I126" s="64"/>
    </row>
    <row r="127" spans="1:9" s="65" customFormat="1" ht="15" x14ac:dyDescent="0.2">
      <c r="A127" s="458" t="s">
        <v>622</v>
      </c>
      <c r="B127" s="523">
        <v>4500000</v>
      </c>
      <c r="C127" s="634">
        <v>4500000</v>
      </c>
      <c r="D127" s="634">
        <v>7031984</v>
      </c>
      <c r="E127" s="459">
        <f t="shared" si="3"/>
        <v>2531984</v>
      </c>
      <c r="F127" s="62"/>
      <c r="G127" s="63"/>
      <c r="H127" s="63"/>
      <c r="I127" s="64"/>
    </row>
    <row r="128" spans="1:9" s="65" customFormat="1" ht="30" x14ac:dyDescent="0.2">
      <c r="A128" s="458" t="s">
        <v>1002</v>
      </c>
      <c r="B128" s="523">
        <v>71000000</v>
      </c>
      <c r="C128" s="634">
        <v>392050306</v>
      </c>
      <c r="D128" s="634">
        <v>395479306</v>
      </c>
      <c r="E128" s="459">
        <f t="shared" si="3"/>
        <v>3429000</v>
      </c>
      <c r="F128" s="62"/>
      <c r="G128" s="63"/>
      <c r="H128" s="63"/>
      <c r="I128" s="64"/>
    </row>
    <row r="129" spans="1:9" s="65" customFormat="1" ht="15.75" thickBot="1" x14ac:dyDescent="0.25">
      <c r="A129" s="532" t="s">
        <v>583</v>
      </c>
      <c r="B129" s="520">
        <v>30000000</v>
      </c>
      <c r="C129" s="1398">
        <v>30000000</v>
      </c>
      <c r="D129" s="1398">
        <v>26758000</v>
      </c>
      <c r="E129" s="632">
        <f t="shared" si="3"/>
        <v>-3242000</v>
      </c>
      <c r="F129" s="62"/>
      <c r="G129" s="63"/>
      <c r="H129" s="63"/>
      <c r="I129" s="64"/>
    </row>
    <row r="130" spans="1:9" s="65" customFormat="1" ht="60.75" customHeight="1" thickBot="1" x14ac:dyDescent="0.25">
      <c r="A130" s="374" t="s">
        <v>86</v>
      </c>
      <c r="B130" s="1294" t="s">
        <v>660</v>
      </c>
      <c r="C130" s="390" t="s">
        <v>1021</v>
      </c>
      <c r="D130" s="390" t="s">
        <v>1111</v>
      </c>
      <c r="E130" s="391" t="s">
        <v>987</v>
      </c>
      <c r="F130" s="62"/>
      <c r="G130" s="63"/>
      <c r="H130" s="63"/>
      <c r="I130" s="64"/>
    </row>
    <row r="131" spans="1:9" s="65" customFormat="1" ht="24" customHeight="1" x14ac:dyDescent="0.2">
      <c r="A131" s="1684" t="s">
        <v>1127</v>
      </c>
      <c r="B131" s="1685"/>
      <c r="C131" s="1685"/>
      <c r="D131" s="1686">
        <v>3241000</v>
      </c>
      <c r="E131" s="676">
        <f t="shared" ref="E131:E168" si="4">D131-C131</f>
        <v>3241000</v>
      </c>
      <c r="F131" s="62"/>
      <c r="G131" s="63"/>
      <c r="H131" s="63"/>
      <c r="I131" s="64"/>
    </row>
    <row r="132" spans="1:9" s="65" customFormat="1" ht="24" customHeight="1" x14ac:dyDescent="0.2">
      <c r="A132" s="1687" t="s">
        <v>1128</v>
      </c>
      <c r="B132" s="1688"/>
      <c r="C132" s="1689"/>
      <c r="D132" s="600">
        <v>1000</v>
      </c>
      <c r="E132" s="676">
        <f t="shared" si="4"/>
        <v>1000</v>
      </c>
      <c r="F132" s="62"/>
      <c r="G132" s="63"/>
      <c r="H132" s="63"/>
      <c r="I132" s="64"/>
    </row>
    <row r="133" spans="1:9" s="65" customFormat="1" ht="24" customHeight="1" x14ac:dyDescent="0.2">
      <c r="A133" s="1683" t="s">
        <v>1129</v>
      </c>
      <c r="B133" s="1682"/>
      <c r="C133" s="1682"/>
      <c r="D133" s="600">
        <v>7654407</v>
      </c>
      <c r="E133" s="676">
        <f t="shared" si="4"/>
        <v>7654407</v>
      </c>
      <c r="F133" s="62"/>
      <c r="G133" s="63"/>
      <c r="H133" s="63"/>
      <c r="I133" s="64"/>
    </row>
    <row r="134" spans="1:9" s="65" customFormat="1" ht="30" x14ac:dyDescent="0.2">
      <c r="A134" s="311" t="s">
        <v>1003</v>
      </c>
      <c r="B134" s="257"/>
      <c r="C134" s="257">
        <v>12700000</v>
      </c>
      <c r="D134" s="257">
        <v>12700000</v>
      </c>
      <c r="E134" s="676">
        <f t="shared" si="4"/>
        <v>0</v>
      </c>
      <c r="F134" s="62"/>
      <c r="G134" s="63"/>
      <c r="H134" s="63"/>
      <c r="I134" s="64"/>
    </row>
    <row r="135" spans="1:9" s="65" customFormat="1" ht="30" x14ac:dyDescent="0.2">
      <c r="A135" s="311" t="s">
        <v>1130</v>
      </c>
      <c r="B135" s="257"/>
      <c r="C135" s="257"/>
      <c r="D135" s="257">
        <v>257810000</v>
      </c>
      <c r="E135" s="676">
        <f t="shared" si="4"/>
        <v>257810000</v>
      </c>
      <c r="F135" s="62"/>
      <c r="G135" s="63"/>
      <c r="H135" s="63"/>
      <c r="I135" s="64"/>
    </row>
    <row r="136" spans="1:9" s="65" customFormat="1" ht="15" x14ac:dyDescent="0.2">
      <c r="A136" s="311" t="s">
        <v>717</v>
      </c>
      <c r="B136" s="519">
        <v>35000000</v>
      </c>
      <c r="C136" s="519">
        <v>35000000</v>
      </c>
      <c r="D136" s="519">
        <v>35000000</v>
      </c>
      <c r="E136" s="459">
        <f t="shared" si="4"/>
        <v>0</v>
      </c>
      <c r="F136" s="62"/>
      <c r="G136" s="63"/>
      <c r="H136" s="63"/>
      <c r="I136" s="64"/>
    </row>
    <row r="137" spans="1:9" s="65" customFormat="1" ht="15" x14ac:dyDescent="0.2">
      <c r="A137" s="311" t="s">
        <v>718</v>
      </c>
      <c r="B137" s="519">
        <v>25000000</v>
      </c>
      <c r="C137" s="519">
        <v>25000000</v>
      </c>
      <c r="D137" s="519">
        <v>138446</v>
      </c>
      <c r="E137" s="459">
        <f t="shared" si="4"/>
        <v>-24861554</v>
      </c>
      <c r="F137" s="62"/>
      <c r="G137" s="63"/>
      <c r="H137" s="63"/>
      <c r="I137" s="64"/>
    </row>
    <row r="138" spans="1:9" s="65" customFormat="1" ht="45" x14ac:dyDescent="0.2">
      <c r="A138" s="457" t="s">
        <v>599</v>
      </c>
      <c r="B138" s="519">
        <v>49705494</v>
      </c>
      <c r="C138" s="526">
        <v>49705494</v>
      </c>
      <c r="D138" s="526">
        <v>49705494</v>
      </c>
      <c r="E138" s="459">
        <f t="shared" si="4"/>
        <v>0</v>
      </c>
      <c r="F138" s="62"/>
      <c r="G138" s="63"/>
      <c r="H138" s="63"/>
      <c r="I138" s="64"/>
    </row>
    <row r="139" spans="1:9" s="65" customFormat="1" ht="30" x14ac:dyDescent="0.2">
      <c r="A139" s="311" t="s">
        <v>602</v>
      </c>
      <c r="B139" s="519">
        <v>2864320565</v>
      </c>
      <c r="C139" s="526">
        <v>2864320565</v>
      </c>
      <c r="D139" s="526">
        <v>2955565832</v>
      </c>
      <c r="E139" s="459">
        <f t="shared" si="4"/>
        <v>91245267</v>
      </c>
      <c r="F139" s="62"/>
      <c r="G139" s="63"/>
      <c r="H139" s="63"/>
      <c r="I139" s="64"/>
    </row>
    <row r="140" spans="1:9" s="65" customFormat="1" ht="30" x14ac:dyDescent="0.2">
      <c r="A140" s="223" t="s">
        <v>942</v>
      </c>
      <c r="B140" s="519">
        <v>107950000</v>
      </c>
      <c r="C140" s="519">
        <v>107950000</v>
      </c>
      <c r="D140" s="519">
        <v>109093000</v>
      </c>
      <c r="E140" s="459">
        <f t="shared" si="4"/>
        <v>1143000</v>
      </c>
      <c r="F140" s="62"/>
      <c r="G140" s="63"/>
      <c r="H140" s="63"/>
      <c r="I140" s="64"/>
    </row>
    <row r="141" spans="1:9" s="65" customFormat="1" ht="15" x14ac:dyDescent="0.2">
      <c r="A141" s="572" t="s">
        <v>1050</v>
      </c>
      <c r="B141" s="519"/>
      <c r="C141" s="519">
        <v>239870</v>
      </c>
      <c r="D141" s="519">
        <v>239870</v>
      </c>
      <c r="E141" s="459">
        <f t="shared" si="4"/>
        <v>0</v>
      </c>
      <c r="F141" s="62"/>
      <c r="G141" s="63"/>
      <c r="H141" s="63"/>
      <c r="I141" s="64"/>
    </row>
    <row r="142" spans="1:9" s="65" customFormat="1" ht="30" x14ac:dyDescent="0.2">
      <c r="A142" s="572" t="s">
        <v>1004</v>
      </c>
      <c r="B142" s="519"/>
      <c r="C142" s="519">
        <v>1479870</v>
      </c>
      <c r="D142" s="519">
        <v>1479870</v>
      </c>
      <c r="E142" s="459">
        <f t="shared" si="4"/>
        <v>0</v>
      </c>
      <c r="F142" s="62"/>
      <c r="G142" s="63"/>
      <c r="H142" s="63"/>
      <c r="I142" s="64"/>
    </row>
    <row r="143" spans="1:9" s="65" customFormat="1" ht="15" x14ac:dyDescent="0.2">
      <c r="A143" s="572" t="s">
        <v>1005</v>
      </c>
      <c r="B143" s="519"/>
      <c r="C143" s="519">
        <v>762000</v>
      </c>
      <c r="D143" s="519">
        <v>762000</v>
      </c>
      <c r="E143" s="459">
        <f t="shared" si="4"/>
        <v>0</v>
      </c>
      <c r="F143" s="62"/>
      <c r="G143" s="63"/>
      <c r="H143" s="63"/>
      <c r="I143" s="64"/>
    </row>
    <row r="144" spans="1:9" s="65" customFormat="1" ht="15" x14ac:dyDescent="0.2">
      <c r="A144" s="572" t="s">
        <v>1006</v>
      </c>
      <c r="B144" s="519"/>
      <c r="C144" s="519">
        <v>660400</v>
      </c>
      <c r="D144" s="519">
        <v>660400</v>
      </c>
      <c r="E144" s="459">
        <f t="shared" si="4"/>
        <v>0</v>
      </c>
      <c r="F144" s="62"/>
      <c r="G144" s="63"/>
      <c r="H144" s="63"/>
      <c r="I144" s="64"/>
    </row>
    <row r="145" spans="1:9" s="65" customFormat="1" ht="30" x14ac:dyDescent="0.2">
      <c r="A145" s="1393" t="s">
        <v>1007</v>
      </c>
      <c r="B145" s="519"/>
      <c r="C145" s="519">
        <v>1727200</v>
      </c>
      <c r="D145" s="519">
        <v>1727200</v>
      </c>
      <c r="E145" s="459">
        <f t="shared" si="4"/>
        <v>0</v>
      </c>
      <c r="F145" s="62"/>
      <c r="G145" s="63"/>
      <c r="H145" s="63"/>
      <c r="I145" s="64"/>
    </row>
    <row r="146" spans="1:9" s="65" customFormat="1" ht="30" x14ac:dyDescent="0.2">
      <c r="A146" s="645" t="s">
        <v>1008</v>
      </c>
      <c r="B146" s="519"/>
      <c r="C146" s="519">
        <v>787400</v>
      </c>
      <c r="D146" s="519">
        <v>787400</v>
      </c>
      <c r="E146" s="459">
        <f t="shared" si="4"/>
        <v>0</v>
      </c>
      <c r="F146" s="62"/>
      <c r="G146" s="63"/>
      <c r="H146" s="63"/>
      <c r="I146" s="64"/>
    </row>
    <row r="147" spans="1:9" s="65" customFormat="1" ht="15" x14ac:dyDescent="0.2">
      <c r="A147" s="645" t="s">
        <v>1009</v>
      </c>
      <c r="B147" s="519"/>
      <c r="C147" s="519">
        <v>304800</v>
      </c>
      <c r="D147" s="519">
        <v>304800</v>
      </c>
      <c r="E147" s="459">
        <f t="shared" si="4"/>
        <v>0</v>
      </c>
      <c r="F147" s="62"/>
      <c r="G147" s="63"/>
      <c r="H147" s="63"/>
      <c r="I147" s="64"/>
    </row>
    <row r="148" spans="1:9" s="65" customFormat="1" ht="15" x14ac:dyDescent="0.2">
      <c r="A148" s="645" t="s">
        <v>1010</v>
      </c>
      <c r="B148" s="519"/>
      <c r="C148" s="519">
        <v>304800</v>
      </c>
      <c r="D148" s="519">
        <v>304800</v>
      </c>
      <c r="E148" s="459">
        <f t="shared" si="4"/>
        <v>0</v>
      </c>
      <c r="F148" s="62"/>
      <c r="G148" s="63"/>
      <c r="H148" s="63"/>
      <c r="I148" s="64"/>
    </row>
    <row r="149" spans="1:9" s="65" customFormat="1" ht="15" x14ac:dyDescent="0.2">
      <c r="A149" s="572" t="s">
        <v>1011</v>
      </c>
      <c r="B149" s="519"/>
      <c r="C149" s="519">
        <v>1968500</v>
      </c>
      <c r="D149" s="519">
        <v>1968500</v>
      </c>
      <c r="E149" s="459">
        <f t="shared" si="4"/>
        <v>0</v>
      </c>
      <c r="F149" s="62"/>
      <c r="G149" s="63"/>
      <c r="H149" s="63"/>
      <c r="I149" s="64"/>
    </row>
    <row r="150" spans="1:9" s="65" customFormat="1" ht="15" x14ac:dyDescent="0.2">
      <c r="A150" s="572" t="s">
        <v>1012</v>
      </c>
      <c r="B150" s="519"/>
      <c r="C150" s="519">
        <v>820000000</v>
      </c>
      <c r="D150" s="519">
        <v>820000000</v>
      </c>
      <c r="E150" s="459">
        <f t="shared" si="4"/>
        <v>0</v>
      </c>
      <c r="F150" s="62"/>
      <c r="G150" s="63"/>
      <c r="H150" s="63"/>
      <c r="I150" s="64"/>
    </row>
    <row r="151" spans="1:9" s="65" customFormat="1" ht="15" x14ac:dyDescent="0.2">
      <c r="A151" s="572" t="s">
        <v>1051</v>
      </c>
      <c r="B151" s="519"/>
      <c r="C151" s="519">
        <v>1772920</v>
      </c>
      <c r="D151" s="519">
        <v>1818610</v>
      </c>
      <c r="E151" s="459">
        <f t="shared" si="4"/>
        <v>45690</v>
      </c>
      <c r="F151" s="62"/>
      <c r="G151" s="63"/>
      <c r="H151" s="63"/>
      <c r="I151" s="64"/>
    </row>
    <row r="152" spans="1:9" s="65" customFormat="1" ht="30" x14ac:dyDescent="0.2">
      <c r="A152" s="572" t="s">
        <v>1052</v>
      </c>
      <c r="B152" s="519"/>
      <c r="C152" s="519">
        <v>3000000</v>
      </c>
      <c r="D152" s="519">
        <v>3000000</v>
      </c>
      <c r="E152" s="459">
        <f t="shared" si="4"/>
        <v>0</v>
      </c>
      <c r="F152" s="62"/>
      <c r="G152" s="63"/>
      <c r="H152" s="63"/>
      <c r="I152" s="64"/>
    </row>
    <row r="153" spans="1:9" s="65" customFormat="1" ht="15" x14ac:dyDescent="0.2">
      <c r="A153" s="572" t="s">
        <v>1053</v>
      </c>
      <c r="B153" s="519"/>
      <c r="C153" s="519">
        <v>220000</v>
      </c>
      <c r="D153" s="519">
        <v>220000</v>
      </c>
      <c r="E153" s="459">
        <f t="shared" si="4"/>
        <v>0</v>
      </c>
      <c r="F153" s="62"/>
      <c r="G153" s="63"/>
      <c r="H153" s="63"/>
      <c r="I153" s="64"/>
    </row>
    <row r="154" spans="1:9" s="65" customFormat="1" ht="30" x14ac:dyDescent="0.2">
      <c r="A154" s="572" t="s">
        <v>1131</v>
      </c>
      <c r="B154" s="519"/>
      <c r="C154" s="519"/>
      <c r="D154" s="519">
        <v>5000000</v>
      </c>
      <c r="E154" s="459">
        <f t="shared" si="4"/>
        <v>5000000</v>
      </c>
      <c r="F154" s="62"/>
      <c r="G154" s="63"/>
      <c r="H154" s="63"/>
      <c r="I154" s="64"/>
    </row>
    <row r="155" spans="1:9" s="65" customFormat="1" ht="30" x14ac:dyDescent="0.2">
      <c r="A155" s="572" t="s">
        <v>1132</v>
      </c>
      <c r="B155" s="519"/>
      <c r="C155" s="519"/>
      <c r="D155" s="519">
        <v>23000000</v>
      </c>
      <c r="E155" s="459">
        <f t="shared" si="4"/>
        <v>23000000</v>
      </c>
      <c r="F155" s="62"/>
      <c r="G155" s="63"/>
      <c r="H155" s="63"/>
      <c r="I155" s="64"/>
    </row>
    <row r="156" spans="1:9" s="65" customFormat="1" ht="15" x14ac:dyDescent="0.2">
      <c r="A156" s="572" t="s">
        <v>1133</v>
      </c>
      <c r="B156" s="519"/>
      <c r="C156" s="519"/>
      <c r="D156" s="519">
        <v>15240000</v>
      </c>
      <c r="E156" s="459">
        <f t="shared" si="4"/>
        <v>15240000</v>
      </c>
      <c r="F156" s="62"/>
      <c r="G156" s="63"/>
      <c r="H156" s="63"/>
      <c r="I156" s="64"/>
    </row>
    <row r="157" spans="1:9" s="65" customFormat="1" ht="15" x14ac:dyDescent="0.2">
      <c r="A157" s="572" t="s">
        <v>1134</v>
      </c>
      <c r="B157" s="519"/>
      <c r="C157" s="519"/>
      <c r="D157" s="519">
        <v>97800</v>
      </c>
      <c r="E157" s="459">
        <f t="shared" si="4"/>
        <v>97800</v>
      </c>
      <c r="F157" s="62"/>
      <c r="G157" s="63"/>
      <c r="H157" s="63"/>
      <c r="I157" s="64"/>
    </row>
    <row r="158" spans="1:9" s="65" customFormat="1" ht="30" x14ac:dyDescent="0.2">
      <c r="A158" s="572" t="s">
        <v>1135</v>
      </c>
      <c r="B158" s="519"/>
      <c r="C158" s="519"/>
      <c r="D158" s="519">
        <v>22002750</v>
      </c>
      <c r="E158" s="459">
        <f t="shared" si="4"/>
        <v>22002750</v>
      </c>
      <c r="F158" s="62"/>
      <c r="G158" s="63"/>
      <c r="H158" s="63"/>
      <c r="I158" s="64"/>
    </row>
    <row r="159" spans="1:9" s="65" customFormat="1" ht="30" x14ac:dyDescent="0.2">
      <c r="A159" s="572" t="s">
        <v>1136</v>
      </c>
      <c r="B159" s="519"/>
      <c r="C159" s="519"/>
      <c r="D159" s="519">
        <v>83388200</v>
      </c>
      <c r="E159" s="459">
        <f t="shared" si="4"/>
        <v>83388200</v>
      </c>
      <c r="F159" s="62"/>
      <c r="G159" s="63"/>
      <c r="H159" s="63"/>
      <c r="I159" s="64"/>
    </row>
    <row r="160" spans="1:9" s="65" customFormat="1" ht="30" x14ac:dyDescent="0.2">
      <c r="A160" s="572" t="s">
        <v>1137</v>
      </c>
      <c r="B160" s="519"/>
      <c r="C160" s="519"/>
      <c r="D160" s="519">
        <v>13081000</v>
      </c>
      <c r="E160" s="459">
        <f t="shared" si="4"/>
        <v>13081000</v>
      </c>
      <c r="F160" s="62"/>
      <c r="G160" s="63"/>
      <c r="H160" s="63"/>
      <c r="I160" s="64"/>
    </row>
    <row r="161" spans="1:9" s="65" customFormat="1" ht="15" x14ac:dyDescent="0.2">
      <c r="A161" s="572" t="s">
        <v>1138</v>
      </c>
      <c r="B161" s="519"/>
      <c r="C161" s="519"/>
      <c r="D161" s="519">
        <v>57150</v>
      </c>
      <c r="E161" s="459">
        <f t="shared" si="4"/>
        <v>57150</v>
      </c>
      <c r="F161" s="62"/>
      <c r="G161" s="63"/>
      <c r="H161" s="63"/>
      <c r="I161" s="64"/>
    </row>
    <row r="162" spans="1:9" s="65" customFormat="1" ht="15" x14ac:dyDescent="0.2">
      <c r="A162" s="572" t="s">
        <v>1139</v>
      </c>
      <c r="B162" s="519"/>
      <c r="C162" s="519"/>
      <c r="D162" s="519">
        <v>240301</v>
      </c>
      <c r="E162" s="459">
        <f t="shared" si="4"/>
        <v>240301</v>
      </c>
      <c r="F162" s="62"/>
      <c r="G162" s="63"/>
      <c r="H162" s="63"/>
      <c r="I162" s="64"/>
    </row>
    <row r="163" spans="1:9" s="65" customFormat="1" ht="30" x14ac:dyDescent="0.2">
      <c r="A163" s="71" t="s">
        <v>222</v>
      </c>
      <c r="B163" s="257">
        <f>SUM(B164:B165)</f>
        <v>0</v>
      </c>
      <c r="C163" s="257">
        <f>SUM(C164:C165)</f>
        <v>0</v>
      </c>
      <c r="D163" s="257">
        <f>SUM(D164:D165)</f>
        <v>0</v>
      </c>
      <c r="E163" s="459">
        <f t="shared" si="4"/>
        <v>0</v>
      </c>
      <c r="F163" s="62"/>
      <c r="G163" s="63"/>
      <c r="H163" s="63"/>
      <c r="I163" s="64"/>
    </row>
    <row r="164" spans="1:9" s="65" customFormat="1" ht="15.75" customHeight="1" x14ac:dyDescent="0.2">
      <c r="A164" s="223" t="s">
        <v>624</v>
      </c>
      <c r="B164" s="519"/>
      <c r="C164" s="519"/>
      <c r="D164" s="519"/>
      <c r="E164" s="459">
        <f t="shared" si="4"/>
        <v>0</v>
      </c>
      <c r="F164" s="62"/>
      <c r="G164" s="63"/>
      <c r="H164" s="63"/>
      <c r="I164" s="64"/>
    </row>
    <row r="165" spans="1:9" s="65" customFormat="1" ht="30" x14ac:dyDescent="0.2">
      <c r="A165" s="223" t="s">
        <v>625</v>
      </c>
      <c r="B165" s="519"/>
      <c r="C165" s="519"/>
      <c r="D165" s="519"/>
      <c r="E165" s="459">
        <f t="shared" si="4"/>
        <v>0</v>
      </c>
      <c r="F165" s="62"/>
      <c r="G165" s="63"/>
      <c r="H165" s="63"/>
      <c r="I165" s="64"/>
    </row>
    <row r="166" spans="1:9" s="65" customFormat="1" ht="15" x14ac:dyDescent="0.2">
      <c r="A166" s="223" t="s">
        <v>223</v>
      </c>
      <c r="B166" s="519">
        <f>SUM(B167:B168)</f>
        <v>10747000</v>
      </c>
      <c r="C166" s="519">
        <f>SUM(C167:C168)</f>
        <v>10747000</v>
      </c>
      <c r="D166" s="519">
        <f>SUM(D167:D168)</f>
        <v>10747000</v>
      </c>
      <c r="E166" s="459">
        <f t="shared" si="4"/>
        <v>0</v>
      </c>
      <c r="F166" s="62"/>
      <c r="G166" s="63"/>
      <c r="H166" s="63"/>
      <c r="I166" s="64"/>
    </row>
    <row r="167" spans="1:9" s="65" customFormat="1" ht="30" x14ac:dyDescent="0.2">
      <c r="A167" s="223" t="s">
        <v>682</v>
      </c>
      <c r="B167" s="519">
        <v>747000</v>
      </c>
      <c r="C167" s="519">
        <v>747000</v>
      </c>
      <c r="D167" s="519">
        <v>747000</v>
      </c>
      <c r="E167" s="459">
        <f t="shared" si="4"/>
        <v>0</v>
      </c>
      <c r="F167" s="62"/>
      <c r="G167" s="63"/>
      <c r="H167" s="63"/>
      <c r="I167" s="64"/>
    </row>
    <row r="168" spans="1:9" s="65" customFormat="1" ht="18" customHeight="1" x14ac:dyDescent="0.2">
      <c r="A168" s="223" t="s">
        <v>205</v>
      </c>
      <c r="B168" s="519">
        <v>10000000</v>
      </c>
      <c r="C168" s="519">
        <v>10000000</v>
      </c>
      <c r="D168" s="519">
        <v>10000000</v>
      </c>
      <c r="E168" s="459">
        <f t="shared" si="4"/>
        <v>0</v>
      </c>
      <c r="F168" s="62"/>
      <c r="G168" s="63"/>
      <c r="H168" s="63"/>
      <c r="I168" s="64"/>
    </row>
    <row r="169" spans="1:9" s="65" customFormat="1" ht="18" customHeight="1" x14ac:dyDescent="0.25">
      <c r="A169" s="224" t="s">
        <v>224</v>
      </c>
      <c r="B169" s="225">
        <f>SUM(B100:B163,B166)</f>
        <v>5295053003</v>
      </c>
      <c r="C169" s="1316">
        <f>SUM(C100:C163,C166)</f>
        <v>6430376599</v>
      </c>
      <c r="D169" s="1316">
        <f>SUM(D100:D163,D166)</f>
        <v>6923595865</v>
      </c>
      <c r="E169" s="677">
        <f>SUM(E100:E165,E166)</f>
        <v>493219266</v>
      </c>
      <c r="F169" s="62"/>
      <c r="G169" s="63"/>
      <c r="H169" s="63"/>
      <c r="I169" s="64"/>
    </row>
    <row r="170" spans="1:9" s="65" customFormat="1" ht="20.25" customHeight="1" thickBot="1" x14ac:dyDescent="0.3">
      <c r="A170" s="72" t="s">
        <v>225</v>
      </c>
      <c r="B170" s="207">
        <f>B169+B97</f>
        <v>8739294986</v>
      </c>
      <c r="C170" s="322">
        <f>C169+C97</f>
        <v>10078929594</v>
      </c>
      <c r="D170" s="322">
        <f>D169+D97</f>
        <v>9762627560</v>
      </c>
      <c r="E170" s="354">
        <f>E169+E97</f>
        <v>-316302034</v>
      </c>
      <c r="F170" s="93">
        <f>E170+316302034</f>
        <v>0</v>
      </c>
      <c r="G170" s="63"/>
      <c r="H170" s="63"/>
      <c r="I170" s="64"/>
    </row>
    <row r="171" spans="1:9" s="65" customFormat="1" ht="45.75" thickBot="1" x14ac:dyDescent="0.25">
      <c r="A171" s="374" t="s">
        <v>86</v>
      </c>
      <c r="B171" s="556" t="s">
        <v>660</v>
      </c>
      <c r="C171" s="390" t="s">
        <v>1021</v>
      </c>
      <c r="D171" s="390" t="s">
        <v>1111</v>
      </c>
      <c r="E171" s="391" t="s">
        <v>987</v>
      </c>
      <c r="F171" s="93"/>
      <c r="G171" s="63"/>
      <c r="H171" s="63"/>
      <c r="I171" s="64"/>
    </row>
    <row r="172" spans="1:9" s="65" customFormat="1" ht="43.5" customHeight="1" x14ac:dyDescent="0.25">
      <c r="A172" s="276" t="s">
        <v>364</v>
      </c>
      <c r="B172" s="530"/>
      <c r="C172" s="601"/>
      <c r="D172" s="601"/>
      <c r="E172" s="675"/>
      <c r="F172" s="62"/>
      <c r="G172" s="63"/>
      <c r="H172" s="63"/>
      <c r="I172" s="64"/>
    </row>
    <row r="173" spans="1:9" s="65" customFormat="1" ht="31.5" x14ac:dyDescent="0.25">
      <c r="A173" s="318" t="s">
        <v>227</v>
      </c>
      <c r="B173" s="298">
        <f>SUM(B174:B175)</f>
        <v>10650099</v>
      </c>
      <c r="C173" s="298">
        <f>SUM(C174:C177)</f>
        <v>17731099</v>
      </c>
      <c r="D173" s="298">
        <f>SUM(D174:D177)</f>
        <v>17731099</v>
      </c>
      <c r="E173" s="321">
        <f>SUM(E174:E177)</f>
        <v>0</v>
      </c>
      <c r="F173" s="62"/>
      <c r="G173" s="63"/>
      <c r="H173" s="63"/>
      <c r="I173" s="64"/>
    </row>
    <row r="174" spans="1:9" s="65" customFormat="1" ht="15" customHeight="1" x14ac:dyDescent="0.2">
      <c r="A174" s="223" t="s">
        <v>1015</v>
      </c>
      <c r="B174" s="519"/>
      <c r="C174" s="257"/>
      <c r="D174" s="257"/>
      <c r="E174" s="673"/>
      <c r="F174" s="62"/>
      <c r="G174" s="63"/>
      <c r="H174" s="63"/>
      <c r="I174" s="64"/>
    </row>
    <row r="175" spans="1:9" s="65" customFormat="1" ht="15" customHeight="1" x14ac:dyDescent="0.2">
      <c r="A175" s="223" t="s">
        <v>214</v>
      </c>
      <c r="B175" s="519">
        <v>10650099</v>
      </c>
      <c r="C175" s="519">
        <v>10650099</v>
      </c>
      <c r="D175" s="519">
        <v>10650099</v>
      </c>
      <c r="E175" s="459">
        <f>D175-C175</f>
        <v>0</v>
      </c>
      <c r="F175" s="62"/>
      <c r="G175" s="63"/>
      <c r="H175" s="63"/>
      <c r="I175" s="64"/>
    </row>
    <row r="176" spans="1:9" s="65" customFormat="1" ht="30" x14ac:dyDescent="0.2">
      <c r="A176" s="71" t="s">
        <v>1055</v>
      </c>
      <c r="B176" s="519"/>
      <c r="C176" s="519">
        <v>5481000</v>
      </c>
      <c r="D176" s="519">
        <v>5481000</v>
      </c>
      <c r="E176" s="459">
        <f>D176-C176</f>
        <v>0</v>
      </c>
      <c r="F176" s="62"/>
      <c r="G176" s="63"/>
      <c r="H176" s="63"/>
      <c r="I176" s="64"/>
    </row>
    <row r="177" spans="1:9" s="65" customFormat="1" ht="15" customHeight="1" x14ac:dyDescent="0.2">
      <c r="A177" s="71" t="s">
        <v>1054</v>
      </c>
      <c r="B177" s="519"/>
      <c r="C177" s="519">
        <v>1600000</v>
      </c>
      <c r="D177" s="519">
        <v>1600000</v>
      </c>
      <c r="E177" s="459">
        <f>D177-C177</f>
        <v>0</v>
      </c>
      <c r="F177" s="62"/>
      <c r="G177" s="63"/>
      <c r="H177" s="63"/>
      <c r="I177" s="64"/>
    </row>
    <row r="178" spans="1:9" s="65" customFormat="1" ht="29.25" customHeight="1" x14ac:dyDescent="0.25">
      <c r="A178" s="393" t="s">
        <v>342</v>
      </c>
      <c r="B178" s="529"/>
      <c r="C178" s="603"/>
      <c r="D178" s="603"/>
      <c r="E178" s="321"/>
      <c r="F178" s="62"/>
      <c r="G178" s="63"/>
      <c r="H178" s="63"/>
      <c r="I178" s="64"/>
    </row>
    <row r="179" spans="1:9" s="65" customFormat="1" ht="29.25" customHeight="1" x14ac:dyDescent="0.25">
      <c r="A179" s="319" t="s">
        <v>228</v>
      </c>
      <c r="B179" s="298">
        <f>SUM(B180:B188)</f>
        <v>37150000</v>
      </c>
      <c r="C179" s="298">
        <f>SUM(C180:C190)</f>
        <v>1598001859</v>
      </c>
      <c r="D179" s="298">
        <f>SUM(D180:D190)</f>
        <v>1598001859</v>
      </c>
      <c r="E179" s="321">
        <f>SUM(E180:E190)</f>
        <v>0</v>
      </c>
      <c r="F179" s="62"/>
      <c r="G179" s="63"/>
      <c r="H179" s="63"/>
      <c r="I179" s="64"/>
    </row>
    <row r="180" spans="1:9" s="65" customFormat="1" ht="30" x14ac:dyDescent="0.2">
      <c r="A180" s="277" t="s">
        <v>699</v>
      </c>
      <c r="B180" s="257">
        <v>0</v>
      </c>
      <c r="C180" s="206">
        <v>0</v>
      </c>
      <c r="D180" s="206">
        <v>0</v>
      </c>
      <c r="E180" s="459">
        <f t="shared" ref="E180:E190" si="5">D180-C180</f>
        <v>0</v>
      </c>
      <c r="F180" s="93"/>
      <c r="G180" s="63"/>
      <c r="H180" s="63"/>
      <c r="I180" s="64"/>
    </row>
    <row r="181" spans="1:9" s="65" customFormat="1" ht="15" x14ac:dyDescent="0.2">
      <c r="A181" s="277" t="s">
        <v>220</v>
      </c>
      <c r="B181" s="519">
        <v>800000</v>
      </c>
      <c r="C181" s="526">
        <v>800000</v>
      </c>
      <c r="D181" s="526">
        <v>800000</v>
      </c>
      <c r="E181" s="459">
        <f t="shared" si="5"/>
        <v>0</v>
      </c>
      <c r="F181" s="62"/>
      <c r="G181" s="63"/>
      <c r="H181" s="63"/>
      <c r="I181" s="64"/>
    </row>
    <row r="182" spans="1:9" s="65" customFormat="1" ht="21.75" customHeight="1" x14ac:dyDescent="0.2">
      <c r="A182" s="277" t="s">
        <v>221</v>
      </c>
      <c r="B182" s="519">
        <v>2000000</v>
      </c>
      <c r="C182" s="526">
        <v>1900000</v>
      </c>
      <c r="D182" s="526">
        <v>1900000</v>
      </c>
      <c r="E182" s="459">
        <f t="shared" si="5"/>
        <v>0</v>
      </c>
      <c r="F182" s="62"/>
      <c r="G182" s="63"/>
      <c r="H182" s="63"/>
      <c r="I182" s="64"/>
    </row>
    <row r="183" spans="1:9" s="65" customFormat="1" ht="21.2" customHeight="1" x14ac:dyDescent="0.2">
      <c r="A183" s="312" t="s">
        <v>627</v>
      </c>
      <c r="B183" s="519">
        <v>24000000</v>
      </c>
      <c r="C183" s="526">
        <v>24000000</v>
      </c>
      <c r="D183" s="526">
        <v>24000000</v>
      </c>
      <c r="E183" s="459">
        <f t="shared" si="5"/>
        <v>0</v>
      </c>
      <c r="F183" s="62"/>
      <c r="G183" s="63"/>
      <c r="H183" s="63"/>
      <c r="I183" s="64"/>
    </row>
    <row r="184" spans="1:9" s="65" customFormat="1" ht="21.2" customHeight="1" x14ac:dyDescent="0.2">
      <c r="A184" s="359" t="s">
        <v>626</v>
      </c>
      <c r="B184" s="519">
        <v>100000</v>
      </c>
      <c r="C184" s="526">
        <v>100000</v>
      </c>
      <c r="D184" s="526">
        <v>100000</v>
      </c>
      <c r="E184" s="459">
        <f t="shared" si="5"/>
        <v>0</v>
      </c>
      <c r="F184" s="62"/>
      <c r="G184" s="63"/>
      <c r="H184" s="63"/>
      <c r="I184" s="64"/>
    </row>
    <row r="185" spans="1:9" s="65" customFormat="1" ht="29.25" customHeight="1" x14ac:dyDescent="0.2">
      <c r="A185" s="316" t="s">
        <v>628</v>
      </c>
      <c r="B185" s="519">
        <v>10000000</v>
      </c>
      <c r="C185" s="526">
        <v>10000000</v>
      </c>
      <c r="D185" s="526">
        <v>10000000</v>
      </c>
      <c r="E185" s="459">
        <f t="shared" si="5"/>
        <v>0</v>
      </c>
      <c r="F185" s="62"/>
      <c r="G185" s="63"/>
      <c r="H185" s="63"/>
      <c r="I185" s="64"/>
    </row>
    <row r="186" spans="1:9" s="65" customFormat="1" ht="29.25" customHeight="1" x14ac:dyDescent="0.2">
      <c r="A186" s="316" t="s">
        <v>629</v>
      </c>
      <c r="B186" s="519">
        <v>250000</v>
      </c>
      <c r="C186" s="526">
        <v>250000</v>
      </c>
      <c r="D186" s="526">
        <v>250000</v>
      </c>
      <c r="E186" s="459">
        <f t="shared" si="5"/>
        <v>0</v>
      </c>
      <c r="F186" s="62"/>
      <c r="G186" s="63"/>
      <c r="H186" s="63"/>
      <c r="I186" s="64"/>
    </row>
    <row r="187" spans="1:9" s="65" customFormat="1" ht="29.25" customHeight="1" x14ac:dyDescent="0.2">
      <c r="A187" s="646" t="s">
        <v>1013</v>
      </c>
      <c r="B187" s="257">
        <v>0</v>
      </c>
      <c r="C187" s="206">
        <v>132775880</v>
      </c>
      <c r="D187" s="206">
        <v>132775880</v>
      </c>
      <c r="E187" s="459">
        <f t="shared" si="5"/>
        <v>0</v>
      </c>
      <c r="F187" s="62"/>
      <c r="G187" s="63"/>
      <c r="H187" s="63"/>
      <c r="I187" s="64"/>
    </row>
    <row r="188" spans="1:9" s="65" customFormat="1" ht="60" x14ac:dyDescent="0.2">
      <c r="A188" s="646" t="s">
        <v>1014</v>
      </c>
      <c r="B188" s="257"/>
      <c r="C188" s="206">
        <v>1135929178</v>
      </c>
      <c r="D188" s="206">
        <v>1135929178</v>
      </c>
      <c r="E188" s="459">
        <f t="shared" si="5"/>
        <v>0</v>
      </c>
      <c r="F188" s="62"/>
      <c r="G188" s="63"/>
      <c r="H188" s="63"/>
      <c r="I188" s="64"/>
    </row>
    <row r="189" spans="1:9" s="65" customFormat="1" ht="45" x14ac:dyDescent="0.2">
      <c r="A189" s="646" t="s">
        <v>1056</v>
      </c>
      <c r="B189" s="257"/>
      <c r="C189" s="206">
        <v>44790551</v>
      </c>
      <c r="D189" s="206">
        <v>44790551</v>
      </c>
      <c r="E189" s="459">
        <f t="shared" si="5"/>
        <v>0</v>
      </c>
      <c r="F189" s="62"/>
      <c r="G189" s="63"/>
      <c r="H189" s="63"/>
      <c r="I189" s="64"/>
    </row>
    <row r="190" spans="1:9" s="65" customFormat="1" ht="30" x14ac:dyDescent="0.2">
      <c r="A190" s="573" t="s">
        <v>1058</v>
      </c>
      <c r="B190" s="257"/>
      <c r="C190" s="206">
        <v>247456250</v>
      </c>
      <c r="D190" s="206">
        <v>247456250</v>
      </c>
      <c r="E190" s="459">
        <f t="shared" si="5"/>
        <v>0</v>
      </c>
      <c r="F190" s="62"/>
      <c r="G190" s="63"/>
      <c r="H190" s="63"/>
      <c r="I190" s="64"/>
    </row>
    <row r="191" spans="1:9" s="65" customFormat="1" ht="34.5" customHeight="1" x14ac:dyDescent="0.25">
      <c r="A191" s="320" t="s">
        <v>229</v>
      </c>
      <c r="B191" s="298">
        <f>SUM(B192:B225)</f>
        <v>188580486</v>
      </c>
      <c r="C191" s="298">
        <f>SUM(C192:C225)</f>
        <v>192580486</v>
      </c>
      <c r="D191" s="298">
        <f>SUM(D192:D225)</f>
        <v>191927486</v>
      </c>
      <c r="E191" s="321">
        <f>SUM(E192:E225)</f>
        <v>-653000</v>
      </c>
      <c r="F191" s="62"/>
      <c r="G191" s="63"/>
      <c r="H191" s="63"/>
      <c r="I191" s="64"/>
    </row>
    <row r="192" spans="1:9" s="65" customFormat="1" ht="30" x14ac:dyDescent="0.2">
      <c r="A192" s="278" t="s">
        <v>459</v>
      </c>
      <c r="B192" s="519">
        <v>100000</v>
      </c>
      <c r="C192" s="526">
        <v>100000</v>
      </c>
      <c r="D192" s="526">
        <v>100000</v>
      </c>
      <c r="E192" s="459">
        <f t="shared" ref="E192:E201" si="6">D192-C192</f>
        <v>0</v>
      </c>
      <c r="F192" s="93"/>
      <c r="G192" s="63"/>
      <c r="H192" s="63"/>
      <c r="I192" s="64"/>
    </row>
    <row r="193" spans="1:9" s="60" customFormat="1" ht="28.5" customHeight="1" x14ac:dyDescent="0.2">
      <c r="A193" s="316" t="s">
        <v>523</v>
      </c>
      <c r="B193" s="519">
        <v>1000000</v>
      </c>
      <c r="C193" s="526">
        <v>1000000</v>
      </c>
      <c r="D193" s="526">
        <v>1000000</v>
      </c>
      <c r="E193" s="459">
        <f t="shared" si="6"/>
        <v>0</v>
      </c>
    </row>
    <row r="194" spans="1:9" s="60" customFormat="1" ht="28.5" customHeight="1" x14ac:dyDescent="0.2">
      <c r="A194" s="621" t="s">
        <v>630</v>
      </c>
      <c r="B194" s="519">
        <v>200000</v>
      </c>
      <c r="C194" s="526">
        <v>200000</v>
      </c>
      <c r="D194" s="526">
        <v>200000</v>
      </c>
      <c r="E194" s="459">
        <f t="shared" si="6"/>
        <v>0</v>
      </c>
    </row>
    <row r="195" spans="1:9" s="60" customFormat="1" ht="28.5" customHeight="1" x14ac:dyDescent="0.2">
      <c r="A195" s="621" t="s">
        <v>631</v>
      </c>
      <c r="B195" s="519">
        <v>800000</v>
      </c>
      <c r="C195" s="526">
        <v>800000</v>
      </c>
      <c r="D195" s="526">
        <v>800000</v>
      </c>
      <c r="E195" s="459">
        <f t="shared" si="6"/>
        <v>0</v>
      </c>
    </row>
    <row r="196" spans="1:9" s="60" customFormat="1" ht="28.5" customHeight="1" x14ac:dyDescent="0.2">
      <c r="A196" s="621" t="s">
        <v>1140</v>
      </c>
      <c r="B196" s="519"/>
      <c r="C196" s="526"/>
      <c r="D196" s="526">
        <v>2000000</v>
      </c>
      <c r="E196" s="459">
        <f t="shared" si="6"/>
        <v>2000000</v>
      </c>
    </row>
    <row r="197" spans="1:9" s="60" customFormat="1" ht="28.5" customHeight="1" x14ac:dyDescent="0.2">
      <c r="A197" s="314" t="s">
        <v>596</v>
      </c>
      <c r="B197" s="519">
        <f>8200000+900000</f>
        <v>9100000</v>
      </c>
      <c r="C197" s="526">
        <f>8200000+900000</f>
        <v>9100000</v>
      </c>
      <c r="D197" s="526">
        <f>8200000+900000</f>
        <v>9100000</v>
      </c>
      <c r="E197" s="459">
        <f t="shared" si="6"/>
        <v>0</v>
      </c>
    </row>
    <row r="198" spans="1:9" s="60" customFormat="1" ht="30.75" customHeight="1" x14ac:dyDescent="0.2">
      <c r="A198" s="277" t="s">
        <v>706</v>
      </c>
      <c r="B198" s="257">
        <v>35000000</v>
      </c>
      <c r="C198" s="206">
        <v>35000000</v>
      </c>
      <c r="D198" s="206">
        <v>32100000</v>
      </c>
      <c r="E198" s="459">
        <f t="shared" si="6"/>
        <v>-2900000</v>
      </c>
      <c r="F198" s="57"/>
      <c r="G198" s="58"/>
      <c r="H198" s="58"/>
      <c r="I198" s="59"/>
    </row>
    <row r="199" spans="1:9" s="60" customFormat="1" ht="30.75" customHeight="1" x14ac:dyDescent="0.2">
      <c r="A199" s="277" t="s">
        <v>970</v>
      </c>
      <c r="B199" s="257">
        <v>1300000</v>
      </c>
      <c r="C199" s="206">
        <v>1300000</v>
      </c>
      <c r="D199" s="206">
        <v>1300000</v>
      </c>
      <c r="E199" s="459">
        <f t="shared" si="6"/>
        <v>0</v>
      </c>
      <c r="F199" s="57"/>
      <c r="G199" s="58"/>
      <c r="H199" s="58"/>
      <c r="I199" s="59"/>
    </row>
    <row r="200" spans="1:9" s="60" customFormat="1" ht="60" x14ac:dyDescent="0.2">
      <c r="A200" s="277" t="s">
        <v>683</v>
      </c>
      <c r="B200" s="257">
        <v>6916081</v>
      </c>
      <c r="C200" s="206">
        <v>6916081</v>
      </c>
      <c r="D200" s="206">
        <v>6916081</v>
      </c>
      <c r="E200" s="459">
        <f t="shared" si="6"/>
        <v>0</v>
      </c>
      <c r="F200" s="57"/>
      <c r="G200" s="58"/>
      <c r="H200" s="58"/>
      <c r="I200" s="59"/>
    </row>
    <row r="201" spans="1:9" s="60" customFormat="1" ht="15.75" thickBot="1" x14ac:dyDescent="0.25">
      <c r="A201" s="1444" t="s">
        <v>940</v>
      </c>
      <c r="B201" s="1445">
        <v>42000000</v>
      </c>
      <c r="C201" s="1408">
        <v>34255616</v>
      </c>
      <c r="D201" s="1408">
        <v>34255616</v>
      </c>
      <c r="E201" s="632">
        <f t="shared" si="6"/>
        <v>0</v>
      </c>
      <c r="F201" s="57"/>
      <c r="G201" s="58"/>
      <c r="H201" s="58"/>
      <c r="I201" s="59"/>
    </row>
    <row r="202" spans="1:9" s="60" customFormat="1" ht="45.75" thickBot="1" x14ac:dyDescent="0.25">
      <c r="A202" s="374" t="s">
        <v>86</v>
      </c>
      <c r="B202" s="1294" t="s">
        <v>660</v>
      </c>
      <c r="C202" s="390" t="s">
        <v>1021</v>
      </c>
      <c r="D202" s="390" t="s">
        <v>1111</v>
      </c>
      <c r="E202" s="391" t="s">
        <v>987</v>
      </c>
      <c r="F202" s="57"/>
      <c r="G202" s="58"/>
      <c r="H202" s="58"/>
      <c r="I202" s="59"/>
    </row>
    <row r="203" spans="1:9" s="60" customFormat="1" ht="30.75" customHeight="1" x14ac:dyDescent="0.2">
      <c r="A203" s="359" t="s">
        <v>700</v>
      </c>
      <c r="B203" s="523">
        <f>1500000+662910</f>
        <v>2162910</v>
      </c>
      <c r="C203" s="523">
        <f>1500000+662910</f>
        <v>2162910</v>
      </c>
      <c r="D203" s="523">
        <v>1862910</v>
      </c>
      <c r="E203" s="634">
        <f t="shared" ref="E203:E230" si="7">D203-C203</f>
        <v>-300000</v>
      </c>
      <c r="F203" s="57"/>
      <c r="G203" s="58"/>
      <c r="H203" s="58"/>
      <c r="I203" s="59"/>
    </row>
    <row r="204" spans="1:9" s="60" customFormat="1" ht="19.5" customHeight="1" x14ac:dyDescent="0.2">
      <c r="A204" s="525" t="s">
        <v>337</v>
      </c>
      <c r="B204" s="519">
        <v>4390667</v>
      </c>
      <c r="C204" s="519">
        <v>4390667</v>
      </c>
      <c r="D204" s="519">
        <v>7606667</v>
      </c>
      <c r="E204" s="526">
        <f t="shared" si="7"/>
        <v>3216000</v>
      </c>
      <c r="F204" s="57"/>
      <c r="G204" s="58"/>
      <c r="H204" s="58"/>
      <c r="I204" s="59"/>
    </row>
    <row r="205" spans="1:9" s="60" customFormat="1" ht="40.700000000000003" customHeight="1" x14ac:dyDescent="0.2">
      <c r="A205" s="358" t="s">
        <v>481</v>
      </c>
      <c r="B205" s="523"/>
      <c r="C205" s="523">
        <v>4000000</v>
      </c>
      <c r="D205" s="523">
        <v>4000000</v>
      </c>
      <c r="E205" s="526">
        <f t="shared" si="7"/>
        <v>0</v>
      </c>
      <c r="F205" s="57"/>
      <c r="G205" s="58"/>
      <c r="H205" s="58"/>
      <c r="I205" s="59"/>
    </row>
    <row r="206" spans="1:9" s="60" customFormat="1" ht="30" x14ac:dyDescent="0.2">
      <c r="A206" s="358" t="s">
        <v>591</v>
      </c>
      <c r="B206" s="519">
        <v>6751410</v>
      </c>
      <c r="C206" s="519">
        <v>6751410</v>
      </c>
      <c r="D206" s="519">
        <v>6751410</v>
      </c>
      <c r="E206" s="526">
        <f t="shared" si="7"/>
        <v>0</v>
      </c>
      <c r="F206" s="57"/>
      <c r="G206" s="58"/>
      <c r="H206" s="58"/>
      <c r="I206" s="59"/>
    </row>
    <row r="207" spans="1:9" s="60" customFormat="1" ht="15" x14ac:dyDescent="0.2">
      <c r="A207" s="358" t="s">
        <v>1016</v>
      </c>
      <c r="B207" s="519"/>
      <c r="C207" s="519">
        <v>7744384</v>
      </c>
      <c r="D207" s="519">
        <v>7744384</v>
      </c>
      <c r="E207" s="526">
        <f t="shared" si="7"/>
        <v>0</v>
      </c>
      <c r="F207" s="57"/>
      <c r="G207" s="58"/>
      <c r="H207" s="58"/>
      <c r="I207" s="59"/>
    </row>
    <row r="208" spans="1:9" s="60" customFormat="1" ht="30" x14ac:dyDescent="0.2">
      <c r="A208" s="315" t="s">
        <v>592</v>
      </c>
      <c r="B208" s="519">
        <v>30000000</v>
      </c>
      <c r="C208" s="519">
        <v>30000000</v>
      </c>
      <c r="D208" s="519">
        <v>30000000</v>
      </c>
      <c r="E208" s="526">
        <f t="shared" si="7"/>
        <v>0</v>
      </c>
      <c r="F208" s="57"/>
      <c r="G208" s="58"/>
      <c r="H208" s="58"/>
      <c r="I208" s="59"/>
    </row>
    <row r="209" spans="1:9" s="60" customFormat="1" ht="34.5" customHeight="1" x14ac:dyDescent="0.2">
      <c r="A209" s="574" t="s">
        <v>593</v>
      </c>
      <c r="B209" s="519">
        <v>5000000</v>
      </c>
      <c r="C209" s="519">
        <v>5000000</v>
      </c>
      <c r="D209" s="519">
        <v>5000000</v>
      </c>
      <c r="E209" s="526">
        <f t="shared" si="7"/>
        <v>0</v>
      </c>
      <c r="F209" s="57"/>
      <c r="G209" s="58"/>
      <c r="H209" s="58"/>
      <c r="I209" s="59"/>
    </row>
    <row r="210" spans="1:9" s="60" customFormat="1" ht="45" x14ac:dyDescent="0.2">
      <c r="A210" s="359" t="s">
        <v>482</v>
      </c>
      <c r="B210" s="519">
        <v>2000000</v>
      </c>
      <c r="C210" s="519">
        <v>2000000</v>
      </c>
      <c r="D210" s="519">
        <v>2000000</v>
      </c>
      <c r="E210" s="526">
        <f t="shared" si="7"/>
        <v>0</v>
      </c>
      <c r="F210" s="57"/>
      <c r="G210" s="58"/>
      <c r="H210" s="58"/>
      <c r="I210" s="59"/>
    </row>
    <row r="211" spans="1:9" s="60" customFormat="1" ht="30" x14ac:dyDescent="0.2">
      <c r="A211" s="359" t="s">
        <v>1141</v>
      </c>
      <c r="B211" s="519"/>
      <c r="C211" s="519"/>
      <c r="D211" s="519">
        <v>200000</v>
      </c>
      <c r="E211" s="526">
        <f t="shared" si="7"/>
        <v>200000</v>
      </c>
      <c r="F211" s="57"/>
      <c r="G211" s="58"/>
      <c r="H211" s="58"/>
      <c r="I211" s="59"/>
    </row>
    <row r="212" spans="1:9" s="60" customFormat="1" ht="15" x14ac:dyDescent="0.2">
      <c r="A212" s="359" t="s">
        <v>1142</v>
      </c>
      <c r="B212" s="519"/>
      <c r="C212" s="519"/>
      <c r="D212" s="519">
        <v>335000</v>
      </c>
      <c r="E212" s="526">
        <f t="shared" si="7"/>
        <v>335000</v>
      </c>
      <c r="F212" s="57"/>
      <c r="G212" s="58"/>
      <c r="H212" s="58"/>
      <c r="I212" s="59"/>
    </row>
    <row r="213" spans="1:9" s="60" customFormat="1" ht="30" x14ac:dyDescent="0.2">
      <c r="A213" s="359" t="s">
        <v>684</v>
      </c>
      <c r="B213" s="519">
        <v>25000000</v>
      </c>
      <c r="C213" s="519">
        <v>25000000</v>
      </c>
      <c r="D213" s="519">
        <v>25000000</v>
      </c>
      <c r="E213" s="526">
        <f t="shared" si="7"/>
        <v>0</v>
      </c>
      <c r="F213" s="57"/>
      <c r="G213" s="58"/>
      <c r="H213" s="58"/>
      <c r="I213" s="59"/>
    </row>
    <row r="214" spans="1:9" s="60" customFormat="1" ht="15" x14ac:dyDescent="0.2">
      <c r="A214" s="359" t="s">
        <v>18</v>
      </c>
      <c r="B214" s="519">
        <v>6000000</v>
      </c>
      <c r="C214" s="519">
        <v>6000000</v>
      </c>
      <c r="D214" s="519">
        <v>0</v>
      </c>
      <c r="E214" s="526">
        <f t="shared" si="7"/>
        <v>-6000000</v>
      </c>
      <c r="F214" s="57"/>
      <c r="G214" s="58"/>
      <c r="H214" s="58"/>
      <c r="I214" s="59"/>
    </row>
    <row r="215" spans="1:9" s="60" customFormat="1" ht="15" x14ac:dyDescent="0.2">
      <c r="A215" s="359" t="s">
        <v>594</v>
      </c>
      <c r="B215" s="519">
        <v>3000000</v>
      </c>
      <c r="C215" s="519">
        <v>3000000</v>
      </c>
      <c r="D215" s="519">
        <v>0</v>
      </c>
      <c r="E215" s="526">
        <f t="shared" si="7"/>
        <v>-3000000</v>
      </c>
      <c r="F215" s="57"/>
      <c r="G215" s="58"/>
      <c r="H215" s="58"/>
      <c r="I215" s="59"/>
    </row>
    <row r="216" spans="1:9" s="60" customFormat="1" ht="15" x14ac:dyDescent="0.2">
      <c r="A216" s="359" t="s">
        <v>705</v>
      </c>
      <c r="B216" s="519">
        <v>2000000</v>
      </c>
      <c r="C216" s="519">
        <v>2000000</v>
      </c>
      <c r="D216" s="519">
        <v>2000000</v>
      </c>
      <c r="E216" s="526">
        <f t="shared" si="7"/>
        <v>0</v>
      </c>
      <c r="F216" s="57"/>
      <c r="G216" s="58"/>
      <c r="H216" s="58"/>
      <c r="I216" s="59"/>
    </row>
    <row r="217" spans="1:9" s="60" customFormat="1" ht="30" x14ac:dyDescent="0.2">
      <c r="A217" s="359" t="s">
        <v>1143</v>
      </c>
      <c r="B217" s="519"/>
      <c r="C217" s="519"/>
      <c r="D217" s="519">
        <v>796000</v>
      </c>
      <c r="E217" s="526">
        <f t="shared" si="7"/>
        <v>796000</v>
      </c>
      <c r="F217" s="57"/>
      <c r="G217" s="58"/>
      <c r="H217" s="58"/>
      <c r="I217" s="59"/>
    </row>
    <row r="218" spans="1:9" s="60" customFormat="1" ht="30" x14ac:dyDescent="0.2">
      <c r="A218" s="359" t="s">
        <v>1144</v>
      </c>
      <c r="B218" s="519"/>
      <c r="C218" s="519"/>
      <c r="D218" s="519">
        <v>5000000</v>
      </c>
      <c r="E218" s="526">
        <f t="shared" si="7"/>
        <v>5000000</v>
      </c>
      <c r="F218" s="57"/>
      <c r="G218" s="58"/>
      <c r="H218" s="58"/>
      <c r="I218" s="59"/>
    </row>
    <row r="219" spans="1:9" s="60" customFormat="1" ht="15" x14ac:dyDescent="0.2">
      <c r="A219" s="317" t="s">
        <v>483</v>
      </c>
      <c r="B219" s="519"/>
      <c r="C219" s="519"/>
      <c r="D219" s="519"/>
      <c r="E219" s="526">
        <f t="shared" si="7"/>
        <v>0</v>
      </c>
      <c r="F219" s="57"/>
      <c r="G219" s="58"/>
      <c r="H219" s="58"/>
      <c r="I219" s="59"/>
    </row>
    <row r="220" spans="1:9" s="60" customFormat="1" ht="21.2" customHeight="1" x14ac:dyDescent="0.2">
      <c r="A220" s="311" t="s">
        <v>484</v>
      </c>
      <c r="B220" s="519">
        <v>135000</v>
      </c>
      <c r="C220" s="519">
        <v>135000</v>
      </c>
      <c r="D220" s="519">
        <v>135000</v>
      </c>
      <c r="E220" s="526">
        <f t="shared" si="7"/>
        <v>0</v>
      </c>
      <c r="F220" s="57"/>
      <c r="G220" s="58"/>
      <c r="H220" s="58"/>
      <c r="I220" s="59"/>
    </row>
    <row r="221" spans="1:9" s="60" customFormat="1" ht="21.2" customHeight="1" x14ac:dyDescent="0.2">
      <c r="A221" s="311" t="s">
        <v>485</v>
      </c>
      <c r="B221" s="519">
        <v>420000</v>
      </c>
      <c r="C221" s="519">
        <v>420000</v>
      </c>
      <c r="D221" s="519">
        <v>420000</v>
      </c>
      <c r="E221" s="526">
        <f t="shared" si="7"/>
        <v>0</v>
      </c>
      <c r="F221" s="57"/>
      <c r="G221" s="58"/>
      <c r="H221" s="58"/>
      <c r="I221" s="59"/>
    </row>
    <row r="222" spans="1:9" s="60" customFormat="1" ht="21.2" customHeight="1" x14ac:dyDescent="0.2">
      <c r="A222" s="311" t="s">
        <v>486</v>
      </c>
      <c r="B222" s="519">
        <v>420000</v>
      </c>
      <c r="C222" s="519">
        <v>420000</v>
      </c>
      <c r="D222" s="519">
        <v>420000</v>
      </c>
      <c r="E222" s="526">
        <f t="shared" si="7"/>
        <v>0</v>
      </c>
      <c r="F222" s="57"/>
      <c r="G222" s="58"/>
      <c r="H222" s="58"/>
      <c r="I222" s="59"/>
    </row>
    <row r="223" spans="1:9" s="60" customFormat="1" ht="21.2" customHeight="1" x14ac:dyDescent="0.2">
      <c r="A223" s="311" t="s">
        <v>487</v>
      </c>
      <c r="B223" s="519">
        <v>180000</v>
      </c>
      <c r="C223" s="519">
        <v>180000</v>
      </c>
      <c r="D223" s="519">
        <v>180000</v>
      </c>
      <c r="E223" s="526">
        <f t="shared" si="7"/>
        <v>0</v>
      </c>
      <c r="F223" s="57"/>
      <c r="G223" s="58"/>
      <c r="H223" s="58"/>
      <c r="I223" s="59"/>
    </row>
    <row r="224" spans="1:9" s="60" customFormat="1" ht="21.2" customHeight="1" x14ac:dyDescent="0.2">
      <c r="A224" s="311" t="s">
        <v>488</v>
      </c>
      <c r="B224" s="519">
        <v>120000</v>
      </c>
      <c r="C224" s="519">
        <v>120000</v>
      </c>
      <c r="D224" s="519">
        <v>120000</v>
      </c>
      <c r="E224" s="526">
        <f t="shared" si="7"/>
        <v>0</v>
      </c>
      <c r="F224" s="57"/>
      <c r="G224" s="58"/>
      <c r="H224" s="58"/>
      <c r="I224" s="59"/>
    </row>
    <row r="225" spans="1:9" s="60" customFormat="1" ht="21.2" customHeight="1" x14ac:dyDescent="0.2">
      <c r="A225" s="71" t="s">
        <v>465</v>
      </c>
      <c r="B225" s="257">
        <f>SUM(B226:B228)</f>
        <v>4584418</v>
      </c>
      <c r="C225" s="257">
        <f>SUM(C226:C228)</f>
        <v>4584418</v>
      </c>
      <c r="D225" s="257">
        <f>SUM(D226:D228)</f>
        <v>4584418</v>
      </c>
      <c r="E225" s="526">
        <f t="shared" si="7"/>
        <v>0</v>
      </c>
      <c r="F225" s="57"/>
      <c r="G225" s="58"/>
      <c r="H225" s="58"/>
      <c r="I225" s="59"/>
    </row>
    <row r="226" spans="1:9" s="60" customFormat="1" ht="16.5" customHeight="1" x14ac:dyDescent="0.2">
      <c r="A226" s="223" t="s">
        <v>231</v>
      </c>
      <c r="B226" s="519">
        <v>1496398</v>
      </c>
      <c r="C226" s="519">
        <v>1496398</v>
      </c>
      <c r="D226" s="519">
        <v>1496398</v>
      </c>
      <c r="E226" s="526">
        <f t="shared" si="7"/>
        <v>0</v>
      </c>
      <c r="F226" s="57"/>
      <c r="G226" s="58"/>
      <c r="H226" s="58"/>
      <c r="I226" s="59"/>
    </row>
    <row r="227" spans="1:9" s="60" customFormat="1" ht="18" customHeight="1" x14ac:dyDescent="0.2">
      <c r="A227" s="223" t="s">
        <v>232</v>
      </c>
      <c r="B227" s="519">
        <v>1589260</v>
      </c>
      <c r="C227" s="519">
        <v>1589260</v>
      </c>
      <c r="D227" s="519">
        <v>1589260</v>
      </c>
      <c r="E227" s="526">
        <f t="shared" si="7"/>
        <v>0</v>
      </c>
      <c r="F227" s="57"/>
      <c r="G227" s="58"/>
      <c r="H227" s="58"/>
      <c r="I227" s="59"/>
    </row>
    <row r="228" spans="1:9" s="60" customFormat="1" ht="17.45" customHeight="1" x14ac:dyDescent="0.2">
      <c r="A228" s="226" t="s">
        <v>233</v>
      </c>
      <c r="B228" s="519">
        <v>1498760</v>
      </c>
      <c r="C228" s="519">
        <v>1498760</v>
      </c>
      <c r="D228" s="519">
        <v>1498760</v>
      </c>
      <c r="E228" s="526">
        <f t="shared" si="7"/>
        <v>0</v>
      </c>
      <c r="F228" s="57"/>
      <c r="G228" s="58"/>
      <c r="H228" s="58"/>
      <c r="I228" s="59"/>
    </row>
    <row r="229" spans="1:9" s="60" customFormat="1" ht="17.45" customHeight="1" x14ac:dyDescent="0.25">
      <c r="A229" s="224" t="s">
        <v>234</v>
      </c>
      <c r="B229" s="225">
        <f>B191+B179+B173+B178</f>
        <v>236380585</v>
      </c>
      <c r="C229" s="1316">
        <f>C191+C179+C173+C178</f>
        <v>1808313444</v>
      </c>
      <c r="D229" s="1316">
        <f>D191+D179+D173+D178</f>
        <v>1807660444</v>
      </c>
      <c r="E229" s="1399">
        <f t="shared" si="7"/>
        <v>-653000</v>
      </c>
      <c r="F229" s="57"/>
      <c r="G229" s="58"/>
      <c r="H229" s="58"/>
      <c r="I229" s="59"/>
    </row>
    <row r="230" spans="1:9" s="92" customFormat="1" ht="20.25" customHeight="1" thickBot="1" x14ac:dyDescent="0.3">
      <c r="A230" s="72" t="s">
        <v>235</v>
      </c>
      <c r="B230" s="207">
        <f>SUM(B229+B170)</f>
        <v>8975675571</v>
      </c>
      <c r="C230" s="322">
        <f>SUM(C229+C170)</f>
        <v>11887243038</v>
      </c>
      <c r="D230" s="322">
        <f>SUM(D229+D170)</f>
        <v>11570288004</v>
      </c>
      <c r="E230" s="1446">
        <f t="shared" si="7"/>
        <v>-316955034</v>
      </c>
      <c r="F230" s="89"/>
      <c r="G230" s="90"/>
      <c r="H230" s="90"/>
      <c r="I230" s="91"/>
    </row>
    <row r="231" spans="1:9" s="92" customFormat="1" ht="45.75" thickBot="1" x14ac:dyDescent="0.25">
      <c r="A231" s="374" t="s">
        <v>86</v>
      </c>
      <c r="B231" s="1294" t="s">
        <v>660</v>
      </c>
      <c r="C231" s="390" t="s">
        <v>1021</v>
      </c>
      <c r="D231" s="390" t="s">
        <v>1111</v>
      </c>
      <c r="E231" s="391" t="s">
        <v>987</v>
      </c>
      <c r="F231" s="89"/>
      <c r="G231" s="90"/>
      <c r="H231" s="90"/>
      <c r="I231" s="91"/>
    </row>
    <row r="232" spans="1:9" s="92" customFormat="1" ht="18" customHeight="1" x14ac:dyDescent="0.25">
      <c r="A232" s="82" t="s">
        <v>236</v>
      </c>
      <c r="B232" s="527"/>
      <c r="C232" s="599"/>
      <c r="D232" s="599"/>
      <c r="E232" s="672"/>
      <c r="F232" s="89"/>
      <c r="G232" s="90"/>
      <c r="H232" s="90"/>
      <c r="I232" s="91"/>
    </row>
    <row r="233" spans="1:9" s="92" customFormat="1" ht="18" customHeight="1" x14ac:dyDescent="0.2">
      <c r="A233" s="71" t="s">
        <v>237</v>
      </c>
      <c r="B233" s="526">
        <v>74242424</v>
      </c>
      <c r="C233" s="526">
        <v>74242424</v>
      </c>
      <c r="D233" s="526">
        <v>74242424</v>
      </c>
      <c r="E233" s="459">
        <f>D233-C233</f>
        <v>0</v>
      </c>
      <c r="F233" s="89"/>
      <c r="G233" s="90"/>
      <c r="H233" s="90"/>
      <c r="I233" s="91"/>
    </row>
    <row r="234" spans="1:9" s="92" customFormat="1" ht="18" customHeight="1" x14ac:dyDescent="0.2">
      <c r="A234" s="1205" t="s">
        <v>996</v>
      </c>
      <c r="B234" s="526"/>
      <c r="C234" s="526">
        <v>800000000</v>
      </c>
      <c r="D234" s="526">
        <v>800000000</v>
      </c>
      <c r="E234" s="459">
        <f>D234-C234</f>
        <v>0</v>
      </c>
      <c r="F234" s="89"/>
      <c r="G234" s="90"/>
      <c r="H234" s="90"/>
      <c r="I234" s="91"/>
    </row>
    <row r="235" spans="1:9" s="65" customFormat="1" ht="21.2" customHeight="1" x14ac:dyDescent="0.2">
      <c r="A235" s="71" t="s">
        <v>213</v>
      </c>
      <c r="B235" s="526">
        <v>0</v>
      </c>
      <c r="C235" s="526">
        <v>0</v>
      </c>
      <c r="D235" s="526">
        <v>0</v>
      </c>
      <c r="E235" s="459">
        <f>D235-C235</f>
        <v>0</v>
      </c>
      <c r="F235" s="62"/>
      <c r="G235" s="63"/>
      <c r="H235" s="63"/>
      <c r="I235" s="64"/>
    </row>
    <row r="236" spans="1:9" s="65" customFormat="1" ht="34.5" customHeight="1" thickBot="1" x14ac:dyDescent="0.25">
      <c r="A236" s="297" t="s">
        <v>458</v>
      </c>
      <c r="B236" s="519">
        <f>40589205+12800000</f>
        <v>53389205</v>
      </c>
      <c r="C236" s="1398">
        <f>40589205+12800000</f>
        <v>53389205</v>
      </c>
      <c r="D236" s="1398">
        <f>40589205+12800000</f>
        <v>53389205</v>
      </c>
      <c r="E236" s="459">
        <f>D236-C236</f>
        <v>0</v>
      </c>
      <c r="F236" s="62"/>
      <c r="G236" s="63"/>
      <c r="H236" s="63"/>
      <c r="I236" s="64"/>
    </row>
    <row r="237" spans="1:9" s="65" customFormat="1" ht="21.2" customHeight="1" thickBot="1" x14ac:dyDescent="0.3">
      <c r="A237" s="464" t="s">
        <v>238</v>
      </c>
      <c r="B237" s="524">
        <f>SUM(B233:B236)</f>
        <v>127631629</v>
      </c>
      <c r="C237" s="524">
        <f>SUM(C233:C236)</f>
        <v>927631629</v>
      </c>
      <c r="D237" s="524">
        <f>SUM(D233:D236)</f>
        <v>927631629</v>
      </c>
      <c r="E237" s="355">
        <f>SUM(E233:E236)</f>
        <v>0</v>
      </c>
      <c r="F237" s="62"/>
      <c r="G237" s="63"/>
      <c r="H237" s="63"/>
      <c r="I237" s="64"/>
    </row>
    <row r="238" spans="1:9" s="92" customFormat="1" ht="18" customHeight="1" x14ac:dyDescent="0.25">
      <c r="A238" s="82" t="s">
        <v>239</v>
      </c>
      <c r="B238" s="528"/>
      <c r="C238" s="528"/>
      <c r="D238" s="528"/>
      <c r="E238" s="465"/>
      <c r="F238" s="89"/>
      <c r="G238" s="90"/>
      <c r="H238" s="90"/>
      <c r="I238" s="91"/>
    </row>
    <row r="239" spans="1:9" s="60" customFormat="1" ht="18" customHeight="1" x14ac:dyDescent="0.2">
      <c r="A239" s="622" t="s">
        <v>662</v>
      </c>
      <c r="B239" s="519">
        <f>'6.sz.tábla  (3)'!B121</f>
        <v>51718627</v>
      </c>
      <c r="C239" s="519">
        <f>'6.sz.tábla  (3)'!C121</f>
        <v>51718627</v>
      </c>
      <c r="D239" s="519">
        <f>'6.sz.tábla  (3)'!D121</f>
        <v>55718627</v>
      </c>
      <c r="E239" s="459">
        <f>D239-C239</f>
        <v>4000000</v>
      </c>
      <c r="F239" s="57"/>
      <c r="G239" s="58"/>
      <c r="H239" s="58"/>
      <c r="I239" s="59"/>
    </row>
    <row r="240" spans="1:9" s="60" customFormat="1" ht="18" customHeight="1" x14ac:dyDescent="0.2">
      <c r="A240" s="623" t="s">
        <v>663</v>
      </c>
      <c r="B240" s="519">
        <f>'6.sz.tábla  (3)'!B122</f>
        <v>46690000</v>
      </c>
      <c r="C240" s="519">
        <f>'6.sz.tábla  (3)'!C122</f>
        <v>47707000</v>
      </c>
      <c r="D240" s="519">
        <f>'6.sz.tábla  (3)'!D122</f>
        <v>47282620</v>
      </c>
      <c r="E240" s="459">
        <f>D240-C240</f>
        <v>-424380</v>
      </c>
      <c r="F240" s="57"/>
      <c r="G240" s="58"/>
      <c r="H240" s="58"/>
      <c r="I240" s="59"/>
    </row>
    <row r="241" spans="1:9" s="60" customFormat="1" ht="18" customHeight="1" x14ac:dyDescent="0.2">
      <c r="A241" s="623" t="s">
        <v>240</v>
      </c>
      <c r="B241" s="519">
        <v>9000000</v>
      </c>
      <c r="C241" s="519">
        <v>9000000</v>
      </c>
      <c r="D241" s="519">
        <v>9000000</v>
      </c>
      <c r="E241" s="459">
        <f>D241-C241</f>
        <v>0</v>
      </c>
      <c r="F241" s="57"/>
      <c r="G241" s="58"/>
      <c r="H241" s="58"/>
      <c r="I241" s="59"/>
    </row>
    <row r="242" spans="1:9" s="60" customFormat="1" ht="18" customHeight="1" thickBot="1" x14ac:dyDescent="0.3">
      <c r="A242" s="72" t="s">
        <v>475</v>
      </c>
      <c r="B242" s="207">
        <f>SUM(B239:B241)</f>
        <v>107408627</v>
      </c>
      <c r="C242" s="207">
        <f>SUM(C239:C241)</f>
        <v>108425627</v>
      </c>
      <c r="D242" s="207">
        <f>SUM(D239:D241)</f>
        <v>112001247</v>
      </c>
      <c r="E242" s="354">
        <f>SUM(E239:E241)</f>
        <v>3575620</v>
      </c>
      <c r="F242" s="57"/>
      <c r="G242" s="58"/>
      <c r="H242" s="58"/>
      <c r="I242" s="59"/>
    </row>
    <row r="243" spans="1:9" s="92" customFormat="1" ht="18" customHeight="1" x14ac:dyDescent="0.2">
      <c r="A243" s="67"/>
      <c r="B243" s="208"/>
      <c r="C243" s="208"/>
      <c r="D243" s="208"/>
      <c r="E243" s="208"/>
      <c r="F243" s="89"/>
      <c r="G243" s="90"/>
      <c r="H243" s="90"/>
      <c r="I243" s="91"/>
    </row>
  </sheetData>
  <sheetProtection selectLockedCells="1" selectUnlockedCells="1"/>
  <mergeCells count="1">
    <mergeCell ref="A4:E4"/>
  </mergeCells>
  <printOptions horizontalCentered="1"/>
  <pageMargins left="0.24027777777777778" right="0.24027777777777778" top="0.70833333333333326" bottom="0.31527777777777777" header="0.19652777777777777" footer="0.51180555555555551"/>
  <pageSetup paperSize="9" scale="72" firstPageNumber="0" orientation="portrait" r:id="rId1"/>
  <headerFooter alignWithMargins="0">
    <oddHeader>&amp;C
7. melléklet 
 az önkormányzat 2020. évi költségvetéséről szóló 6/2019. (III.06.) önkormányzati rendelethez
a 42/2020. (XII.21.) önkormányzati rendelet módosítással egységes szerkezetbe foglalva&amp;R&amp;P. oldal</oddHeader>
  </headerFooter>
  <rowBreaks count="7" manualBreakCount="7">
    <brk id="38" max="3" man="1"/>
    <brk id="74" max="3" man="1"/>
    <brk id="97" max="3" man="1"/>
    <brk id="129" max="4" man="1"/>
    <brk id="170" max="3" man="1"/>
    <brk id="201" max="3" man="1"/>
    <brk id="230"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N62"/>
  <sheetViews>
    <sheetView view="pageLayout" topLeftCell="B27" zoomScale="88" zoomScaleNormal="100" zoomScaleSheetLayoutView="89" zoomScalePageLayoutView="88" workbookViewId="0">
      <selection activeCell="I39" sqref="I39"/>
    </sheetView>
  </sheetViews>
  <sheetFormatPr defaultColWidth="9.140625" defaultRowHeight="14.25" x14ac:dyDescent="0.2"/>
  <cols>
    <col min="1" max="1" width="45.7109375" style="387" customWidth="1"/>
    <col min="2" max="2" width="18.85546875" style="389" customWidth="1"/>
    <col min="3" max="4" width="17.85546875" style="389" customWidth="1"/>
    <col min="5" max="5" width="17.5703125" style="389" customWidth="1"/>
    <col min="6" max="6" width="45.85546875" style="387" customWidth="1"/>
    <col min="7" max="7" width="19" style="389" customWidth="1"/>
    <col min="8" max="9" width="21.28515625" style="389" customWidth="1"/>
    <col min="10" max="10" width="18.28515625" style="389" customWidth="1"/>
    <col min="11" max="11" width="19" style="389" customWidth="1"/>
    <col min="12" max="12" width="9.140625" style="9"/>
    <col min="13" max="13" width="11.85546875" style="9" customWidth="1"/>
    <col min="14" max="14" width="9.140625" style="9"/>
    <col min="15" max="15" width="12.28515625" style="9" customWidth="1"/>
    <col min="16" max="16384" width="9.140625" style="9"/>
  </cols>
  <sheetData>
    <row r="2" spans="1:14" ht="15" x14ac:dyDescent="0.25">
      <c r="C2" s="1997"/>
      <c r="D2" s="1997"/>
      <c r="E2" s="1997"/>
      <c r="F2" s="1997"/>
      <c r="G2" s="1997"/>
      <c r="H2" s="1997"/>
      <c r="I2" s="1997"/>
      <c r="J2" s="1997"/>
      <c r="K2" s="1997"/>
    </row>
    <row r="4" spans="1:14" ht="15.75" customHeight="1" x14ac:dyDescent="0.25">
      <c r="A4" s="1998" t="s">
        <v>719</v>
      </c>
      <c r="B4" s="1998"/>
      <c r="C4" s="1998"/>
      <c r="D4" s="1998"/>
      <c r="E4" s="1998"/>
      <c r="F4" s="1998"/>
      <c r="G4" s="1998"/>
      <c r="H4" s="1998"/>
      <c r="I4" s="1998"/>
      <c r="J4" s="1998"/>
      <c r="K4" s="1998"/>
    </row>
    <row r="5" spans="1:14" ht="15" thickBot="1" x14ac:dyDescent="0.25"/>
    <row r="6" spans="1:14" s="66" customFormat="1" ht="30.75" thickBot="1" x14ac:dyDescent="0.25">
      <c r="A6" s="292" t="s">
        <v>241</v>
      </c>
      <c r="B6" s="556" t="s">
        <v>660</v>
      </c>
      <c r="C6" s="390" t="s">
        <v>986</v>
      </c>
      <c r="D6" s="390" t="s">
        <v>1021</v>
      </c>
      <c r="E6" s="391" t="s">
        <v>987</v>
      </c>
      <c r="F6" s="1419" t="s">
        <v>242</v>
      </c>
      <c r="G6" s="556" t="s">
        <v>660</v>
      </c>
      <c r="H6" s="390" t="s">
        <v>986</v>
      </c>
      <c r="I6" s="390" t="s">
        <v>1021</v>
      </c>
      <c r="J6" s="391" t="s">
        <v>987</v>
      </c>
      <c r="K6" s="476"/>
      <c r="L6" s="477"/>
    </row>
    <row r="7" spans="1:14" ht="26.45" customHeight="1" x14ac:dyDescent="0.2">
      <c r="A7" s="180" t="s">
        <v>243</v>
      </c>
      <c r="B7" s="241">
        <f>'2.sz.tábla   (2)'!N7</f>
        <v>1518232816</v>
      </c>
      <c r="C7" s="258">
        <f>'2.sz.tábla   (2)'!O7</f>
        <v>1618441584</v>
      </c>
      <c r="D7" s="258">
        <f>'2.sz.tábla   (2)'!P7</f>
        <v>1644002138</v>
      </c>
      <c r="E7" s="258">
        <f>D7-C7</f>
        <v>25560554</v>
      </c>
      <c r="F7" s="741" t="s">
        <v>131</v>
      </c>
      <c r="G7" s="481">
        <f>'4.sz.tábla '!B13</f>
        <v>664026977</v>
      </c>
      <c r="H7" s="245">
        <f>'4.sz.tábla '!C13</f>
        <v>686262766</v>
      </c>
      <c r="I7" s="245">
        <f>'4.sz.tábla '!D13</f>
        <v>686817565</v>
      </c>
      <c r="J7" s="228">
        <f>I7-H7</f>
        <v>554799</v>
      </c>
      <c r="K7" s="9"/>
    </row>
    <row r="8" spans="1:14" x14ac:dyDescent="0.2">
      <c r="A8" s="181" t="s">
        <v>244</v>
      </c>
      <c r="B8" s="242">
        <f>'2.sz.tábla   (2)'!N30</f>
        <v>2058240000</v>
      </c>
      <c r="C8" s="255">
        <f>'2.sz.tábla   (2)'!O30</f>
        <v>1627117610</v>
      </c>
      <c r="D8" s="255">
        <f>'2.sz.tábla   (2)'!P30</f>
        <v>1627117610</v>
      </c>
      <c r="E8" s="255">
        <f>D8-C8</f>
        <v>0</v>
      </c>
      <c r="F8" s="742" t="s">
        <v>245</v>
      </c>
      <c r="G8" s="203">
        <f>'4.sz.tábla '!F13</f>
        <v>122015138</v>
      </c>
      <c r="H8" s="197">
        <f>'4.sz.tábla '!G13</f>
        <v>124273948</v>
      </c>
      <c r="I8" s="197">
        <f>'4.sz.tábla '!H13</f>
        <v>124464759</v>
      </c>
      <c r="J8" s="192">
        <f>I8-H8</f>
        <v>190811</v>
      </c>
      <c r="K8" s="9"/>
    </row>
    <row r="9" spans="1:14" ht="15" x14ac:dyDescent="0.2">
      <c r="A9" s="86" t="s">
        <v>246</v>
      </c>
      <c r="B9" s="242">
        <f>'2.sz.tábla   (2)'!N43-'8. sz. tábla  (3)'!B33</f>
        <v>716113096</v>
      </c>
      <c r="C9" s="255">
        <f>'2.sz.tábla   (2)'!O43-'8. sz. tábla  (3)'!C33</f>
        <v>699363334</v>
      </c>
      <c r="D9" s="255">
        <f>'2.sz.tábla   (2)'!P43-'8. sz. tábla  (3)'!D33</f>
        <v>680347869</v>
      </c>
      <c r="E9" s="255">
        <f t="shared" ref="E9:E25" si="0">D9-C9</f>
        <v>-19015465</v>
      </c>
      <c r="F9" s="742" t="s">
        <v>249</v>
      </c>
      <c r="G9" s="203">
        <f>'4.sz.tábla '!J13</f>
        <v>1338249253</v>
      </c>
      <c r="H9" s="197">
        <f>'4.sz.tábla '!K13</f>
        <v>1405460644</v>
      </c>
      <c r="I9" s="197">
        <f>'4.sz.tábla '!L13</f>
        <v>1328334772</v>
      </c>
      <c r="J9" s="192">
        <f t="shared" ref="J9:J25" si="1">I9-H9</f>
        <v>-77125872</v>
      </c>
      <c r="K9" s="9"/>
      <c r="L9" s="7"/>
      <c r="M9" s="8"/>
      <c r="N9" s="8"/>
    </row>
    <row r="10" spans="1:14" ht="28.5" x14ac:dyDescent="0.2">
      <c r="A10" s="181" t="s">
        <v>250</v>
      </c>
      <c r="B10" s="242">
        <f>'2.sz.tábla   (2)'!N66</f>
        <v>3000000</v>
      </c>
      <c r="C10" s="255">
        <f>'2.sz.tábla   (2)'!O66</f>
        <v>3720754</v>
      </c>
      <c r="D10" s="255">
        <f>'2.sz.tábla   (2)'!P66</f>
        <v>19720754</v>
      </c>
      <c r="E10" s="255">
        <f t="shared" si="0"/>
        <v>16000000</v>
      </c>
      <c r="F10" s="742" t="s">
        <v>150</v>
      </c>
      <c r="G10" s="203">
        <f>'4.sz.tábla '!O13</f>
        <v>27600000</v>
      </c>
      <c r="H10" s="197">
        <f>'4.sz.tábla '!P13</f>
        <v>27600000</v>
      </c>
      <c r="I10" s="197">
        <f>'4.sz.tábla '!Q13</f>
        <v>30600000</v>
      </c>
      <c r="J10" s="192">
        <f t="shared" si="1"/>
        <v>3000000</v>
      </c>
      <c r="K10" s="9"/>
    </row>
    <row r="11" spans="1:14" x14ac:dyDescent="0.2">
      <c r="A11" s="136"/>
      <c r="B11" s="242"/>
      <c r="C11" s="604"/>
      <c r="D11" s="604"/>
      <c r="E11" s="255">
        <f t="shared" si="0"/>
        <v>0</v>
      </c>
      <c r="F11" s="86" t="s">
        <v>129</v>
      </c>
      <c r="G11" s="200">
        <f t="shared" ref="G11" si="2">SUM(G12:G15)</f>
        <v>1355809612</v>
      </c>
      <c r="H11" s="195">
        <f t="shared" ref="H11:I11" si="3">SUM(H12:H15)</f>
        <v>1224401769</v>
      </c>
      <c r="I11" s="195">
        <f t="shared" si="3"/>
        <v>1232130349</v>
      </c>
      <c r="J11" s="192">
        <f t="shared" si="1"/>
        <v>7728580</v>
      </c>
      <c r="K11" s="9"/>
    </row>
    <row r="12" spans="1:14" x14ac:dyDescent="0.2">
      <c r="A12" s="136"/>
      <c r="B12" s="242"/>
      <c r="C12" s="255"/>
      <c r="D12" s="255"/>
      <c r="E12" s="255">
        <f t="shared" si="0"/>
        <v>0</v>
      </c>
      <c r="F12" s="136" t="s">
        <v>324</v>
      </c>
      <c r="G12" s="203">
        <f>'5.tábla (2)'!B135</f>
        <v>7183231</v>
      </c>
      <c r="H12" s="197">
        <f>'5.tábla (2)'!C135</f>
        <v>7183231</v>
      </c>
      <c r="I12" s="197">
        <f>'5.tábla (2)'!D135</f>
        <v>7183231</v>
      </c>
      <c r="J12" s="192">
        <f t="shared" si="1"/>
        <v>0</v>
      </c>
      <c r="K12" s="9"/>
    </row>
    <row r="13" spans="1:14" ht="28.5" x14ac:dyDescent="0.2">
      <c r="A13" s="181"/>
      <c r="B13" s="242"/>
      <c r="C13" s="255"/>
      <c r="D13" s="255"/>
      <c r="E13" s="255">
        <f t="shared" si="0"/>
        <v>0</v>
      </c>
      <c r="F13" s="136" t="s">
        <v>325</v>
      </c>
      <c r="G13" s="203">
        <f>'5.tábla (2)'!B139</f>
        <v>535229687</v>
      </c>
      <c r="H13" s="197">
        <f>'5.tábla (2)'!C139+'5.tábla (2)'!C35+'4.sz.tábla '!T9</f>
        <v>507108865</v>
      </c>
      <c r="I13" s="197">
        <f>'5.tábla (2)'!D139+'5.tábla (2)'!D35+'4.sz.tábla '!U9</f>
        <v>512757615</v>
      </c>
      <c r="J13" s="192">
        <f t="shared" si="1"/>
        <v>5648750</v>
      </c>
      <c r="K13" s="9"/>
    </row>
    <row r="14" spans="1:14" ht="28.5" x14ac:dyDescent="0.2">
      <c r="A14" s="182"/>
      <c r="B14" s="242"/>
      <c r="C14" s="255"/>
      <c r="D14" s="255"/>
      <c r="E14" s="255">
        <f t="shared" si="0"/>
        <v>0</v>
      </c>
      <c r="F14" s="466" t="s">
        <v>326</v>
      </c>
      <c r="G14" s="203">
        <f>'5.tábla (2)'!B144</f>
        <v>813396694</v>
      </c>
      <c r="H14" s="197">
        <f>'5.tábla (2)'!C144</f>
        <v>710109673</v>
      </c>
      <c r="I14" s="197">
        <f>'5.tábla (2)'!D144</f>
        <v>712189503</v>
      </c>
      <c r="J14" s="192">
        <f t="shared" si="1"/>
        <v>2079830</v>
      </c>
      <c r="K14" s="9"/>
    </row>
    <row r="15" spans="1:14" ht="28.5" x14ac:dyDescent="0.2">
      <c r="A15" s="181"/>
      <c r="B15" s="242"/>
      <c r="C15" s="255"/>
      <c r="D15" s="255"/>
      <c r="E15" s="255">
        <f t="shared" si="0"/>
        <v>0</v>
      </c>
      <c r="F15" s="136" t="s">
        <v>327</v>
      </c>
      <c r="G15" s="203">
        <f>'5.tábla (2)'!B141</f>
        <v>0</v>
      </c>
      <c r="H15" s="197">
        <f>'5.tábla (2)'!C141</f>
        <v>0</v>
      </c>
      <c r="I15" s="197">
        <f>'5.tábla (2)'!D141</f>
        <v>0</v>
      </c>
      <c r="J15" s="192">
        <f t="shared" si="1"/>
        <v>0</v>
      </c>
      <c r="K15" s="9"/>
    </row>
    <row r="16" spans="1:14" x14ac:dyDescent="0.2">
      <c r="A16" s="136"/>
      <c r="B16" s="242"/>
      <c r="C16" s="255"/>
      <c r="D16" s="255"/>
      <c r="E16" s="255">
        <f t="shared" si="0"/>
        <v>0</v>
      </c>
      <c r="F16" s="86" t="s">
        <v>318</v>
      </c>
      <c r="G16" s="203">
        <f>'1.sz.tábla   (2)'!B30-'8. sz. tábla  (3)'!G38</f>
        <v>39684814</v>
      </c>
      <c r="H16" s="197">
        <f>'1.sz.tábla   (2)'!C30-'8. sz. tábla  (3)'!H38</f>
        <v>166392272</v>
      </c>
      <c r="I16" s="197">
        <f>'1.sz.tábla   (2)'!D30-'8. sz. tábla  (3)'!I38</f>
        <v>131124997</v>
      </c>
      <c r="J16" s="192">
        <f t="shared" si="1"/>
        <v>-35267275</v>
      </c>
      <c r="K16" s="9"/>
    </row>
    <row r="17" spans="1:11" s="1" customFormat="1" ht="15" x14ac:dyDescent="0.25">
      <c r="A17" s="137" t="s">
        <v>251</v>
      </c>
      <c r="B17" s="244">
        <f t="shared" ref="B17" si="4">SUM(B7:B16)</f>
        <v>4295585912</v>
      </c>
      <c r="C17" s="259">
        <f t="shared" ref="C17:D17" si="5">SUM(C7:C16)</f>
        <v>3948643282</v>
      </c>
      <c r="D17" s="259">
        <f t="shared" si="5"/>
        <v>3971188371</v>
      </c>
      <c r="E17" s="299">
        <f t="shared" si="0"/>
        <v>22545089</v>
      </c>
      <c r="F17" s="176" t="s">
        <v>252</v>
      </c>
      <c r="G17" s="201">
        <f t="shared" ref="G17" si="6">G7+G8+G9+G10+G11+G16</f>
        <v>3547385794</v>
      </c>
      <c r="H17" s="193">
        <f t="shared" ref="H17:I17" si="7">H7+H8+H9+H10+H11+H16</f>
        <v>3634391399</v>
      </c>
      <c r="I17" s="193">
        <f t="shared" si="7"/>
        <v>3533472442</v>
      </c>
      <c r="J17" s="738">
        <f>I17-H17</f>
        <v>-100918957</v>
      </c>
    </row>
    <row r="18" spans="1:11" s="1" customFormat="1" ht="15" x14ac:dyDescent="0.25">
      <c r="A18" s="137" t="s">
        <v>253</v>
      </c>
      <c r="B18" s="244">
        <f>B17-G17</f>
        <v>748200118</v>
      </c>
      <c r="C18" s="259">
        <f>C17-H17</f>
        <v>314251883</v>
      </c>
      <c r="D18" s="259">
        <f>D17-I17</f>
        <v>437715929</v>
      </c>
      <c r="E18" s="299">
        <f t="shared" si="0"/>
        <v>123464046</v>
      </c>
      <c r="F18" s="137" t="s">
        <v>254</v>
      </c>
      <c r="G18" s="201"/>
      <c r="H18" s="259"/>
      <c r="I18" s="259"/>
      <c r="J18" s="192">
        <f t="shared" si="1"/>
        <v>0</v>
      </c>
    </row>
    <row r="19" spans="1:11" s="1" customFormat="1" ht="30" x14ac:dyDescent="0.25">
      <c r="A19" s="183" t="s">
        <v>255</v>
      </c>
      <c r="B19" s="244">
        <f t="shared" ref="B19:D19" si="8">SUM(B20)</f>
        <v>169764970</v>
      </c>
      <c r="C19" s="259">
        <f t="shared" si="8"/>
        <v>400727908</v>
      </c>
      <c r="D19" s="259">
        <f t="shared" si="8"/>
        <v>162764447</v>
      </c>
      <c r="E19" s="299">
        <f t="shared" si="0"/>
        <v>-237963461</v>
      </c>
      <c r="F19" s="137" t="s">
        <v>256</v>
      </c>
      <c r="G19" s="201">
        <f t="shared" ref="G19" si="9">SUM(G20:G23)</f>
        <v>53389205</v>
      </c>
      <c r="H19" s="193">
        <f t="shared" ref="H19:I19" si="10">SUM(H20:H23)</f>
        <v>53389205</v>
      </c>
      <c r="I19" s="193">
        <f t="shared" si="10"/>
        <v>53389205</v>
      </c>
      <c r="J19" s="738">
        <f t="shared" si="1"/>
        <v>0</v>
      </c>
    </row>
    <row r="20" spans="1:11" ht="28.5" x14ac:dyDescent="0.2">
      <c r="A20" s="136" t="s">
        <v>257</v>
      </c>
      <c r="B20" s="242">
        <f>'2.sz.tábla   (2)'!N77</f>
        <v>169764970</v>
      </c>
      <c r="C20" s="197">
        <f>'2.sz.tábla   (2)'!O77</f>
        <v>400727908</v>
      </c>
      <c r="D20" s="197">
        <f>'2.sz.tábla   (2)'!P77</f>
        <v>162764447</v>
      </c>
      <c r="E20" s="255">
        <f t="shared" si="0"/>
        <v>-237963461</v>
      </c>
      <c r="F20" s="136" t="s">
        <v>524</v>
      </c>
      <c r="G20" s="203">
        <f>'7. sz. tábla 1'!B236</f>
        <v>53389205</v>
      </c>
      <c r="H20" s="197">
        <f>'7. sz. tábla 1'!C236</f>
        <v>53389205</v>
      </c>
      <c r="I20" s="197">
        <f>'7. sz. tábla 1'!D236</f>
        <v>53389205</v>
      </c>
      <c r="J20" s="192">
        <f t="shared" si="1"/>
        <v>0</v>
      </c>
      <c r="K20" s="9"/>
    </row>
    <row r="21" spans="1:11" s="1" customFormat="1" ht="30" x14ac:dyDescent="0.25">
      <c r="A21" s="137" t="s">
        <v>258</v>
      </c>
      <c r="B21" s="480">
        <f t="shared" ref="B21" si="11">SUM(B22:B24)</f>
        <v>12800000</v>
      </c>
      <c r="C21" s="467">
        <f t="shared" ref="C21:D21" si="12">SUM(C22:C24)</f>
        <v>289413683</v>
      </c>
      <c r="D21" s="467">
        <f t="shared" si="12"/>
        <v>289413683</v>
      </c>
      <c r="E21" s="299">
        <f t="shared" si="0"/>
        <v>0</v>
      </c>
      <c r="F21" s="137" t="s">
        <v>328</v>
      </c>
      <c r="G21" s="201"/>
      <c r="H21" s="259"/>
      <c r="I21" s="259"/>
      <c r="J21" s="192">
        <f t="shared" si="1"/>
        <v>0</v>
      </c>
    </row>
    <row r="22" spans="1:11" ht="15" x14ac:dyDescent="0.25">
      <c r="A22" s="178" t="s">
        <v>259</v>
      </c>
      <c r="B22" s="242">
        <v>0</v>
      </c>
      <c r="C22" s="195">
        <v>276613683</v>
      </c>
      <c r="D22" s="195">
        <v>276613683</v>
      </c>
      <c r="E22" s="255">
        <f t="shared" si="0"/>
        <v>0</v>
      </c>
      <c r="F22" s="136" t="s">
        <v>341</v>
      </c>
      <c r="G22" s="201"/>
      <c r="H22" s="259"/>
      <c r="I22" s="259"/>
      <c r="J22" s="192">
        <f t="shared" si="1"/>
        <v>0</v>
      </c>
      <c r="K22" s="9"/>
    </row>
    <row r="23" spans="1:11" x14ac:dyDescent="0.2">
      <c r="A23" s="136" t="s">
        <v>260</v>
      </c>
      <c r="B23" s="242"/>
      <c r="C23" s="260"/>
      <c r="D23" s="260"/>
      <c r="E23" s="255">
        <f t="shared" si="0"/>
        <v>0</v>
      </c>
      <c r="F23" s="466" t="s">
        <v>339</v>
      </c>
      <c r="G23" s="482">
        <f>'7. sz. tábla 1'!B235</f>
        <v>0</v>
      </c>
      <c r="H23" s="229">
        <f>'7. sz. tábla 1'!C235</f>
        <v>0</v>
      </c>
      <c r="I23" s="229">
        <f>'7. sz. tábla 1'!D235</f>
        <v>0</v>
      </c>
      <c r="J23" s="192">
        <f t="shared" si="1"/>
        <v>0</v>
      </c>
      <c r="K23" s="9"/>
    </row>
    <row r="24" spans="1:11" ht="28.5" x14ac:dyDescent="0.2">
      <c r="A24" s="178" t="s">
        <v>340</v>
      </c>
      <c r="B24" s="242">
        <f>'2.sz.tábla   (2)'!N90</f>
        <v>12800000</v>
      </c>
      <c r="C24" s="255">
        <f>'2.sz.tábla   (2)'!O90</f>
        <v>12800000</v>
      </c>
      <c r="D24" s="255">
        <f>'2.sz.tábla   (2)'!P90</f>
        <v>12800000</v>
      </c>
      <c r="E24" s="192">
        <f t="shared" si="0"/>
        <v>0</v>
      </c>
      <c r="F24" s="468"/>
      <c r="G24" s="203"/>
      <c r="H24" s="605"/>
      <c r="I24" s="605"/>
      <c r="J24" s="192">
        <f t="shared" si="1"/>
        <v>0</v>
      </c>
      <c r="K24" s="9"/>
    </row>
    <row r="25" spans="1:11" s="1" customFormat="1" ht="15.75" thickBot="1" x14ac:dyDescent="0.3">
      <c r="A25" s="138" t="s">
        <v>261</v>
      </c>
      <c r="B25" s="246">
        <f>B17+B19+B21</f>
        <v>4478150882</v>
      </c>
      <c r="C25" s="194">
        <f>C17+C19+C21</f>
        <v>4638784873</v>
      </c>
      <c r="D25" s="194">
        <f>D17+D19+D21</f>
        <v>4423366501</v>
      </c>
      <c r="E25" s="740">
        <f t="shared" si="0"/>
        <v>-215418372</v>
      </c>
      <c r="F25" s="138" t="s">
        <v>262</v>
      </c>
      <c r="G25" s="202">
        <f>G19+G17</f>
        <v>3600774999</v>
      </c>
      <c r="H25" s="194">
        <f>H19+H17</f>
        <v>3687780604</v>
      </c>
      <c r="I25" s="194">
        <f>I19+I17</f>
        <v>3586861647</v>
      </c>
      <c r="J25" s="740">
        <f t="shared" si="1"/>
        <v>-100918957</v>
      </c>
    </row>
    <row r="26" spans="1:11" x14ac:dyDescent="0.2">
      <c r="A26" s="376"/>
      <c r="B26" s="469"/>
      <c r="C26" s="469"/>
      <c r="D26" s="469"/>
      <c r="E26" s="469"/>
      <c r="F26" s="696"/>
      <c r="G26" s="470"/>
      <c r="H26" s="470"/>
      <c r="I26" s="470"/>
      <c r="J26" s="470"/>
      <c r="K26" s="469"/>
    </row>
    <row r="27" spans="1:11" ht="15.75" customHeight="1" x14ac:dyDescent="0.25">
      <c r="A27" s="1998" t="s">
        <v>721</v>
      </c>
      <c r="B27" s="1998"/>
      <c r="C27" s="1998"/>
      <c r="D27" s="1998"/>
      <c r="E27" s="1998"/>
      <c r="F27" s="1998"/>
      <c r="G27" s="1998"/>
      <c r="H27" s="1998"/>
      <c r="I27" s="1998"/>
      <c r="J27" s="1998"/>
      <c r="K27" s="1998"/>
    </row>
    <row r="28" spans="1:11" ht="15" thickBot="1" x14ac:dyDescent="0.25"/>
    <row r="29" spans="1:11" s="66" customFormat="1" ht="30.75" thickBot="1" x14ac:dyDescent="0.25">
      <c r="A29" s="292" t="s">
        <v>263</v>
      </c>
      <c r="B29" s="556" t="s">
        <v>660</v>
      </c>
      <c r="C29" s="390" t="s">
        <v>986</v>
      </c>
      <c r="D29" s="390" t="s">
        <v>1021</v>
      </c>
      <c r="E29" s="391" t="s">
        <v>987</v>
      </c>
      <c r="F29" s="723" t="s">
        <v>264</v>
      </c>
      <c r="G29" s="556" t="s">
        <v>660</v>
      </c>
      <c r="H29" s="390" t="s">
        <v>986</v>
      </c>
      <c r="I29" s="390" t="s">
        <v>1021</v>
      </c>
      <c r="J29" s="391" t="s">
        <v>987</v>
      </c>
    </row>
    <row r="30" spans="1:11" ht="28.5" x14ac:dyDescent="0.2">
      <c r="A30" s="180" t="s">
        <v>265</v>
      </c>
      <c r="B30" s="241">
        <f>'2.sz.tábla   (2)'!N22</f>
        <v>4751248431</v>
      </c>
      <c r="C30" s="245">
        <f>'2.sz.tábla   (2)'!O22</f>
        <v>6804835830</v>
      </c>
      <c r="D30" s="245">
        <f>'2.sz.tábla   (2)'!P22</f>
        <v>6286599318</v>
      </c>
      <c r="E30" s="228">
        <f>D30-C30</f>
        <v>-518236512</v>
      </c>
      <c r="F30" s="86" t="s">
        <v>266</v>
      </c>
      <c r="G30" s="241">
        <f>'7. sz. tábla 1'!B170</f>
        <v>8739294986</v>
      </c>
      <c r="H30" s="258">
        <f>'7. sz. tábla 1'!C170</f>
        <v>10078929594</v>
      </c>
      <c r="I30" s="258">
        <f>'7. sz. tábla 1'!D170</f>
        <v>9762627560</v>
      </c>
      <c r="J30" s="228">
        <f>I30-H30</f>
        <v>-316302034</v>
      </c>
      <c r="K30" s="40"/>
    </row>
    <row r="31" spans="1:11" x14ac:dyDescent="0.2">
      <c r="A31" s="136" t="s">
        <v>267</v>
      </c>
      <c r="B31" s="242">
        <f>'2.sz.tábla   (2)'!N58</f>
        <v>270196741</v>
      </c>
      <c r="C31" s="197">
        <f>'2.sz.tábla   (2)'!O58</f>
        <v>270196741</v>
      </c>
      <c r="D31" s="197">
        <f>'2.sz.tábla   (2)'!P58</f>
        <v>270523434</v>
      </c>
      <c r="E31" s="192">
        <f>D31-C31</f>
        <v>326693</v>
      </c>
      <c r="F31" s="136" t="s">
        <v>268</v>
      </c>
      <c r="G31" s="242">
        <f>'4.sz.tábla '!W11</f>
        <v>30976000</v>
      </c>
      <c r="H31" s="255">
        <f>'4.sz.tábla '!X11</f>
        <v>42617642</v>
      </c>
      <c r="I31" s="255">
        <f>'4.sz.tábla '!Y11</f>
        <v>42465272</v>
      </c>
      <c r="J31" s="192">
        <f>I31-H31</f>
        <v>-152370</v>
      </c>
      <c r="K31" s="9"/>
    </row>
    <row r="32" spans="1:11" x14ac:dyDescent="0.2">
      <c r="A32" s="136" t="s">
        <v>269</v>
      </c>
      <c r="B32" s="242">
        <f>'2.sz.tábla   (2)'!N70</f>
        <v>227000542</v>
      </c>
      <c r="C32" s="197">
        <f>'2.sz.tábla   (2)'!O70</f>
        <v>227000542</v>
      </c>
      <c r="D32" s="197">
        <f>'2.sz.tábla   (2)'!P70</f>
        <v>223000542</v>
      </c>
      <c r="E32" s="192">
        <f t="shared" ref="E32:E46" si="13">D32-C32</f>
        <v>-4000000</v>
      </c>
      <c r="F32" s="136" t="s">
        <v>270</v>
      </c>
      <c r="G32" s="242">
        <f>'7. sz. tábla 1'!B242</f>
        <v>107408627</v>
      </c>
      <c r="H32" s="255">
        <f>'7. sz. tábla 1'!C242</f>
        <v>108425627</v>
      </c>
      <c r="I32" s="255">
        <f>'7. sz. tábla 1'!D242</f>
        <v>112001247</v>
      </c>
      <c r="J32" s="192">
        <f t="shared" ref="J32:J47" si="14">I32-H32</f>
        <v>3575620</v>
      </c>
      <c r="K32" s="9"/>
    </row>
    <row r="33" spans="1:12" ht="28.5" x14ac:dyDescent="0.2">
      <c r="A33" s="136" t="s">
        <v>1</v>
      </c>
      <c r="B33" s="203">
        <v>133482233</v>
      </c>
      <c r="C33" s="197">
        <v>134745833</v>
      </c>
      <c r="D33" s="197">
        <v>217322813</v>
      </c>
      <c r="E33" s="192">
        <f t="shared" si="13"/>
        <v>82576980</v>
      </c>
      <c r="F33" s="136" t="s">
        <v>271</v>
      </c>
      <c r="G33" s="240">
        <f>SUM(G34:G37)</f>
        <v>236380585</v>
      </c>
      <c r="H33" s="260">
        <f>SUM(H34:H37)</f>
        <v>1808313444</v>
      </c>
      <c r="I33" s="260">
        <f>SUM(I34:I37)</f>
        <v>1807660444</v>
      </c>
      <c r="J33" s="192">
        <f t="shared" si="14"/>
        <v>-653000</v>
      </c>
      <c r="K33" s="9"/>
    </row>
    <row r="34" spans="1:12" ht="28.5" x14ac:dyDescent="0.2">
      <c r="A34" s="136"/>
      <c r="B34" s="242"/>
      <c r="C34" s="261"/>
      <c r="D34" s="261"/>
      <c r="E34" s="192">
        <f t="shared" si="13"/>
        <v>0</v>
      </c>
      <c r="F34" s="136" t="s">
        <v>272</v>
      </c>
      <c r="G34" s="242">
        <f>'7. sz. tábla 1'!B191</f>
        <v>188580486</v>
      </c>
      <c r="H34" s="255">
        <f>'7. sz. tábla 1'!C191</f>
        <v>192580486</v>
      </c>
      <c r="I34" s="255">
        <f>'7. sz. tábla 1'!D191</f>
        <v>191927486</v>
      </c>
      <c r="J34" s="192">
        <f t="shared" si="14"/>
        <v>-653000</v>
      </c>
      <c r="K34" s="9"/>
    </row>
    <row r="35" spans="1:12" ht="27" customHeight="1" x14ac:dyDescent="0.2">
      <c r="A35" s="136"/>
      <c r="B35" s="242"/>
      <c r="C35" s="261"/>
      <c r="D35" s="261"/>
      <c r="E35" s="192">
        <f t="shared" si="13"/>
        <v>0</v>
      </c>
      <c r="F35" s="471" t="s">
        <v>273</v>
      </c>
      <c r="G35" s="242">
        <f>'7. sz. tábla 1'!B179</f>
        <v>37150000</v>
      </c>
      <c r="H35" s="255">
        <f>'7. sz. tábla 1'!C179</f>
        <v>1598001859</v>
      </c>
      <c r="I35" s="255">
        <f>'7. sz. tábla 1'!D179</f>
        <v>1598001859</v>
      </c>
      <c r="J35" s="192">
        <f t="shared" si="14"/>
        <v>0</v>
      </c>
      <c r="K35" s="9"/>
    </row>
    <row r="36" spans="1:12" ht="28.5" x14ac:dyDescent="0.2">
      <c r="A36" s="136"/>
      <c r="B36" s="242"/>
      <c r="C36" s="255"/>
      <c r="D36" s="255"/>
      <c r="E36" s="192">
        <f t="shared" si="13"/>
        <v>0</v>
      </c>
      <c r="F36" s="136" t="s">
        <v>343</v>
      </c>
      <c r="G36" s="242">
        <f>'7. sz. tábla 1'!B178</f>
        <v>0</v>
      </c>
      <c r="H36" s="255">
        <f>'7. sz. tábla 1'!C178</f>
        <v>0</v>
      </c>
      <c r="I36" s="255">
        <f>'7. sz. tábla 1'!D178</f>
        <v>0</v>
      </c>
      <c r="J36" s="192">
        <f t="shared" si="14"/>
        <v>0</v>
      </c>
      <c r="K36" s="9"/>
    </row>
    <row r="37" spans="1:12" ht="28.5" x14ac:dyDescent="0.2">
      <c r="A37" s="136"/>
      <c r="B37" s="242"/>
      <c r="C37" s="255"/>
      <c r="D37" s="255"/>
      <c r="E37" s="192">
        <f t="shared" si="13"/>
        <v>0</v>
      </c>
      <c r="F37" s="136" t="s">
        <v>274</v>
      </c>
      <c r="G37" s="242">
        <f>'7. sz. tábla 1'!B173</f>
        <v>10650099</v>
      </c>
      <c r="H37" s="255">
        <f>'7. sz. tábla 1'!C173</f>
        <v>17731099</v>
      </c>
      <c r="I37" s="255">
        <f>'7. sz. tábla 1'!D173</f>
        <v>17731099</v>
      </c>
      <c r="J37" s="192">
        <f t="shared" si="14"/>
        <v>0</v>
      </c>
      <c r="K37" s="9"/>
    </row>
    <row r="38" spans="1:12" x14ac:dyDescent="0.2">
      <c r="A38" s="136"/>
      <c r="B38" s="242"/>
      <c r="C38" s="255"/>
      <c r="D38" s="255"/>
      <c r="E38" s="192">
        <f t="shared" si="13"/>
        <v>0</v>
      </c>
      <c r="F38" s="86" t="s">
        <v>19</v>
      </c>
      <c r="G38" s="242">
        <f>'1.sz.tábla   (2)'!B44+'1.sz.tábla   (2)'!B45+'1.sz.tábla   (2)'!B47+'1.sz.tábla   (2)'!B48+'1.sz.tábla   (2)'!B52+'1.sz.tábla   (2)'!B53</f>
        <v>201320457</v>
      </c>
      <c r="H38" s="255">
        <f>'1.sz.tábla   (2)'!C44+'1.sz.tábla   (2)'!C45+'1.sz.tábla   (2)'!C47+'1.sz.tábla   (2)'!C48+'1.sz.tábla   (2)'!C52+'1.sz.tábla   (2)'!C53</f>
        <v>206320457</v>
      </c>
      <c r="I38" s="255">
        <f>'1.sz.tábla   (2)'!D44+'1.sz.tábla   (2)'!D45+'1.sz.tábla   (2)'!D47+'1.sz.tábla   (2)'!D48+'1.sz.tábla   (2)'!D52+'1.sz.tábla   (2)'!D53+'1.sz.tábla   (2)'!D54</f>
        <v>203983448</v>
      </c>
      <c r="J38" s="192">
        <f t="shared" si="14"/>
        <v>-2337009</v>
      </c>
      <c r="K38" s="9"/>
      <c r="L38" s="40"/>
    </row>
    <row r="39" spans="1:12" s="1" customFormat="1" ht="30" x14ac:dyDescent="0.25">
      <c r="A39" s="137" t="s">
        <v>275</v>
      </c>
      <c r="B39" s="244">
        <f>SUM(B30:B36)</f>
        <v>5381927947</v>
      </c>
      <c r="C39" s="193">
        <f>SUM(C30:C36)</f>
        <v>7436778946</v>
      </c>
      <c r="D39" s="193">
        <f>SUM(D30:D36)</f>
        <v>6997446107</v>
      </c>
      <c r="E39" s="738">
        <f t="shared" si="13"/>
        <v>-439332839</v>
      </c>
      <c r="F39" s="137" t="s">
        <v>276</v>
      </c>
      <c r="G39" s="244">
        <f>G30+G31+G32+G33+G38</f>
        <v>9315380655</v>
      </c>
      <c r="H39" s="259">
        <f>H30+H31+H32+H33+H38</f>
        <v>12244606764</v>
      </c>
      <c r="I39" s="259">
        <f>I30+I31+I32+I33+I38</f>
        <v>11928737971</v>
      </c>
      <c r="J39" s="738">
        <f t="shared" si="14"/>
        <v>-315868793</v>
      </c>
    </row>
    <row r="40" spans="1:12" s="1" customFormat="1" ht="15" x14ac:dyDescent="0.25">
      <c r="A40" s="137" t="s">
        <v>277</v>
      </c>
      <c r="B40" s="243"/>
      <c r="C40" s="259"/>
      <c r="D40" s="259"/>
      <c r="E40" s="192">
        <f t="shared" si="13"/>
        <v>0</v>
      </c>
      <c r="F40" s="137" t="s">
        <v>279</v>
      </c>
      <c r="G40" s="244">
        <f>B39-G39</f>
        <v>-3933452708</v>
      </c>
      <c r="H40" s="259">
        <f>C39-H39</f>
        <v>-4807827818</v>
      </c>
      <c r="I40" s="259">
        <f>D39-I39</f>
        <v>-4931291864</v>
      </c>
      <c r="J40" s="738">
        <f t="shared" si="14"/>
        <v>-123464046</v>
      </c>
    </row>
    <row r="41" spans="1:12" s="1" customFormat="1" ht="30" x14ac:dyDescent="0.25">
      <c r="A41" s="137" t="s">
        <v>280</v>
      </c>
      <c r="B41" s="244">
        <f>SUM(B42)</f>
        <v>2704732064</v>
      </c>
      <c r="C41" s="193">
        <f>SUM(C42)</f>
        <v>2718367656</v>
      </c>
      <c r="D41" s="193">
        <f>SUM(D42)</f>
        <v>2956331117</v>
      </c>
      <c r="E41" s="738">
        <f t="shared" si="13"/>
        <v>237963461</v>
      </c>
      <c r="F41" s="137" t="s">
        <v>281</v>
      </c>
      <c r="G41" s="244">
        <f>SUM(G42:G43)</f>
        <v>74242424</v>
      </c>
      <c r="H41" s="259">
        <f>SUM(H42:H43)</f>
        <v>874242424</v>
      </c>
      <c r="I41" s="259">
        <f>SUM(I42:I43)</f>
        <v>874242424</v>
      </c>
      <c r="J41" s="738">
        <f t="shared" si="14"/>
        <v>0</v>
      </c>
    </row>
    <row r="42" spans="1:12" x14ac:dyDescent="0.2">
      <c r="A42" s="136" t="s">
        <v>282</v>
      </c>
      <c r="B42" s="242">
        <f>'2.sz.tábla   (2)'!N78</f>
        <v>2704732064</v>
      </c>
      <c r="C42" s="197">
        <f>'2.sz.tábla   (2)'!O78</f>
        <v>2718367656</v>
      </c>
      <c r="D42" s="197">
        <f>'2.sz.tábla   (2)'!P78</f>
        <v>2956331117</v>
      </c>
      <c r="E42" s="192">
        <f t="shared" si="13"/>
        <v>237963461</v>
      </c>
      <c r="F42" s="136" t="s">
        <v>461</v>
      </c>
      <c r="G42" s="240"/>
      <c r="H42" s="260"/>
      <c r="I42" s="260"/>
      <c r="J42" s="192">
        <f t="shared" si="14"/>
        <v>0</v>
      </c>
      <c r="K42" s="9"/>
    </row>
    <row r="43" spans="1:12" s="1" customFormat="1" ht="30" x14ac:dyDescent="0.25">
      <c r="A43" s="137" t="s">
        <v>283</v>
      </c>
      <c r="B43" s="201">
        <f>SUM(B44:B45)</f>
        <v>425587185</v>
      </c>
      <c r="C43" s="193">
        <f>SUM(C44:C45)</f>
        <v>2012698317</v>
      </c>
      <c r="D43" s="193">
        <f>SUM(D44:D45)</f>
        <v>2012698317</v>
      </c>
      <c r="E43" s="738">
        <f t="shared" si="13"/>
        <v>0</v>
      </c>
      <c r="F43" s="136" t="s">
        <v>284</v>
      </c>
      <c r="G43" s="240">
        <f>'[3]6. sz. tábla 1'!B241</f>
        <v>74242424</v>
      </c>
      <c r="H43" s="260">
        <f>'7. sz. tábla 1'!C233+'7. sz. tábla 1'!C234</f>
        <v>874242424</v>
      </c>
      <c r="I43" s="260">
        <f>'7. sz. tábla 1'!D233+'7. sz. tábla 1'!D234</f>
        <v>874242424</v>
      </c>
      <c r="J43" s="192">
        <f t="shared" si="14"/>
        <v>0</v>
      </c>
    </row>
    <row r="44" spans="1:12" ht="28.5" x14ac:dyDescent="0.2">
      <c r="A44" s="178" t="s">
        <v>285</v>
      </c>
      <c r="B44" s="242">
        <f>'2.sz.tábla   (2)'!N85-B22</f>
        <v>425587185</v>
      </c>
      <c r="C44" s="197">
        <f>'2.sz.tábla   (2)'!O85-C22</f>
        <v>492698317</v>
      </c>
      <c r="D44" s="197">
        <f>'2.sz.tábla   (2)'!P85-D22</f>
        <v>492698317</v>
      </c>
      <c r="E44" s="192">
        <f t="shared" si="13"/>
        <v>0</v>
      </c>
      <c r="F44" s="136" t="s">
        <v>525</v>
      </c>
      <c r="G44" s="242"/>
      <c r="H44" s="255"/>
      <c r="I44" s="255"/>
      <c r="J44" s="192">
        <f t="shared" si="14"/>
        <v>0</v>
      </c>
      <c r="K44" s="9"/>
    </row>
    <row r="45" spans="1:12" ht="15.75" thickBot="1" x14ac:dyDescent="0.3">
      <c r="A45" s="1411" t="s">
        <v>286</v>
      </c>
      <c r="B45" s="698"/>
      <c r="C45" s="699">
        <f>'2.sz.tábla   (2)'!O80</f>
        <v>1520000000</v>
      </c>
      <c r="D45" s="699">
        <f>'2.sz.tábla   (2)'!P80</f>
        <v>1520000000</v>
      </c>
      <c r="E45" s="740">
        <f t="shared" si="13"/>
        <v>0</v>
      </c>
      <c r="F45" s="1412"/>
      <c r="G45" s="1413"/>
      <c r="H45" s="1414"/>
      <c r="I45" s="1414"/>
      <c r="J45" s="1415">
        <f t="shared" si="14"/>
        <v>0</v>
      </c>
      <c r="K45" s="9"/>
    </row>
    <row r="46" spans="1:12" s="1" customFormat="1" ht="15.75" thickBot="1" x14ac:dyDescent="0.3">
      <c r="A46" s="1410" t="s">
        <v>287</v>
      </c>
      <c r="B46" s="697">
        <f>B39+B41+B43</f>
        <v>8512247196</v>
      </c>
      <c r="C46" s="479">
        <f>C39+C41+C43</f>
        <v>12167844919</v>
      </c>
      <c r="D46" s="479">
        <f>D39+D41+D43</f>
        <v>11966475541</v>
      </c>
      <c r="E46" s="1515">
        <f t="shared" si="13"/>
        <v>-201369378</v>
      </c>
      <c r="F46" s="1410" t="s">
        <v>288</v>
      </c>
      <c r="G46" s="478">
        <f>G39+G41</f>
        <v>9389623079</v>
      </c>
      <c r="H46" s="624">
        <f>H39+H41</f>
        <v>13118849188</v>
      </c>
      <c r="I46" s="624">
        <f>I39+I41</f>
        <v>12802980395</v>
      </c>
      <c r="J46" s="1516">
        <f t="shared" si="14"/>
        <v>-315868793</v>
      </c>
    </row>
    <row r="47" spans="1:12" ht="15" x14ac:dyDescent="0.25">
      <c r="A47" s="388"/>
      <c r="B47" s="392"/>
      <c r="C47" s="392"/>
      <c r="D47" s="392"/>
      <c r="E47" s="392"/>
      <c r="F47" s="376"/>
      <c r="G47" s="472">
        <f>B46-G46</f>
        <v>-877375883</v>
      </c>
      <c r="H47" s="472">
        <f t="shared" ref="H47:I47" si="15">C46-H46</f>
        <v>-951004269</v>
      </c>
      <c r="I47" s="472">
        <f t="shared" si="15"/>
        <v>-836504854</v>
      </c>
      <c r="J47" s="392">
        <f t="shared" si="14"/>
        <v>114499415</v>
      </c>
      <c r="K47" s="469"/>
    </row>
    <row r="48" spans="1:12" ht="15.75" customHeight="1" x14ac:dyDescent="0.25">
      <c r="A48" s="1998" t="s">
        <v>720</v>
      </c>
      <c r="B48" s="1998"/>
      <c r="C48" s="1998"/>
      <c r="D48" s="1998"/>
      <c r="E48" s="1998"/>
      <c r="F48" s="1998"/>
      <c r="G48" s="1998"/>
      <c r="H48" s="1998"/>
      <c r="I48" s="1998"/>
      <c r="J48" s="1998"/>
      <c r="K48" s="1998"/>
    </row>
    <row r="49" spans="1:11" ht="15" thickBot="1" x14ac:dyDescent="0.25"/>
    <row r="50" spans="1:11" s="66" customFormat="1" ht="30.75" thickBot="1" x14ac:dyDescent="0.25">
      <c r="A50" s="292" t="s">
        <v>289</v>
      </c>
      <c r="B50" s="556" t="s">
        <v>660</v>
      </c>
      <c r="C50" s="390" t="s">
        <v>986</v>
      </c>
      <c r="D50" s="390" t="s">
        <v>1021</v>
      </c>
      <c r="E50" s="391" t="s">
        <v>987</v>
      </c>
      <c r="F50" s="292" t="s">
        <v>290</v>
      </c>
      <c r="G50" s="556" t="s">
        <v>660</v>
      </c>
      <c r="H50" s="390" t="s">
        <v>986</v>
      </c>
      <c r="I50" s="390" t="s">
        <v>1021</v>
      </c>
      <c r="J50" s="391" t="s">
        <v>987</v>
      </c>
    </row>
    <row r="51" spans="1:11" x14ac:dyDescent="0.2">
      <c r="A51" s="177" t="s">
        <v>291</v>
      </c>
      <c r="B51" s="473">
        <f>B17</f>
        <v>4295585912</v>
      </c>
      <c r="C51" s="227">
        <f>C17</f>
        <v>3948643282</v>
      </c>
      <c r="D51" s="227">
        <f>D17</f>
        <v>3971188371</v>
      </c>
      <c r="E51" s="227">
        <f>E17</f>
        <v>22545089</v>
      </c>
      <c r="F51" s="86" t="s">
        <v>292</v>
      </c>
      <c r="G51" s="199">
        <f>G17</f>
        <v>3547385794</v>
      </c>
      <c r="H51" s="227">
        <f>H17</f>
        <v>3634391399</v>
      </c>
      <c r="I51" s="227">
        <f>I17</f>
        <v>3533472442</v>
      </c>
      <c r="J51" s="737">
        <f>J17</f>
        <v>-100918957</v>
      </c>
      <c r="K51" s="9"/>
    </row>
    <row r="52" spans="1:11" x14ac:dyDescent="0.2">
      <c r="A52" s="136" t="s">
        <v>293</v>
      </c>
      <c r="B52" s="240">
        <f>B39</f>
        <v>5381927947</v>
      </c>
      <c r="C52" s="195">
        <f>C39</f>
        <v>7436778946</v>
      </c>
      <c r="D52" s="195">
        <f>D39</f>
        <v>6997446107</v>
      </c>
      <c r="E52" s="195">
        <f>E39</f>
        <v>-439332839</v>
      </c>
      <c r="F52" s="136" t="s">
        <v>294</v>
      </c>
      <c r="G52" s="200">
        <f>G39</f>
        <v>9315380655</v>
      </c>
      <c r="H52" s="195">
        <f>H39</f>
        <v>12244606764</v>
      </c>
      <c r="I52" s="195">
        <f>I39</f>
        <v>11928737971</v>
      </c>
      <c r="J52" s="736">
        <f>J39</f>
        <v>-315868793</v>
      </c>
      <c r="K52" s="9"/>
    </row>
    <row r="53" spans="1:11" s="1" customFormat="1" ht="15" x14ac:dyDescent="0.25">
      <c r="A53" s="137" t="s">
        <v>381</v>
      </c>
      <c r="B53" s="243">
        <f>SUM(B51:B52)</f>
        <v>9677513859</v>
      </c>
      <c r="C53" s="196">
        <f>SUM(C51:C52)</f>
        <v>11385422228</v>
      </c>
      <c r="D53" s="196">
        <f>SUM(D51:D52)</f>
        <v>10968634478</v>
      </c>
      <c r="E53" s="196">
        <f>SUM(E51:E52)</f>
        <v>-416787750</v>
      </c>
      <c r="F53" s="137" t="s">
        <v>397</v>
      </c>
      <c r="G53" s="204">
        <f>SUM(G51:G52)</f>
        <v>12862766449</v>
      </c>
      <c r="H53" s="196">
        <f>SUM(H51:H52)</f>
        <v>15878998163</v>
      </c>
      <c r="I53" s="196">
        <f>SUM(I51:I52)</f>
        <v>15462210413</v>
      </c>
      <c r="J53" s="738">
        <f>SUM(J51:J52)</f>
        <v>-416787750</v>
      </c>
    </row>
    <row r="54" spans="1:11" s="1" customFormat="1" ht="15" x14ac:dyDescent="0.25">
      <c r="A54" s="137" t="s">
        <v>295</v>
      </c>
      <c r="B54" s="244"/>
      <c r="C54" s="259"/>
      <c r="D54" s="259"/>
      <c r="E54" s="259"/>
      <c r="F54" s="137" t="s">
        <v>20</v>
      </c>
      <c r="G54" s="204">
        <f>B53-G53</f>
        <v>-3185252590</v>
      </c>
      <c r="H54" s="196">
        <f>C53-H53</f>
        <v>-4493575935</v>
      </c>
      <c r="I54" s="196">
        <f>D53-I53</f>
        <v>-4493575935</v>
      </c>
      <c r="J54" s="738">
        <f>E53-J53</f>
        <v>0</v>
      </c>
    </row>
    <row r="55" spans="1:11" s="1" customFormat="1" ht="30" x14ac:dyDescent="0.25">
      <c r="A55" s="137" t="s">
        <v>296</v>
      </c>
      <c r="B55" s="243">
        <f>SUM(B56:B57)</f>
        <v>2874497034</v>
      </c>
      <c r="C55" s="196">
        <f>SUM(C56:C57)</f>
        <v>3119095564</v>
      </c>
      <c r="D55" s="196">
        <f>SUM(D56:D57)</f>
        <v>3119095564</v>
      </c>
      <c r="E55" s="196">
        <f>SUM(E56:E57)</f>
        <v>0</v>
      </c>
      <c r="F55" s="137" t="s">
        <v>297</v>
      </c>
      <c r="G55" s="204">
        <f>SUM(G56:G57)</f>
        <v>127631629</v>
      </c>
      <c r="H55" s="196">
        <f>SUM(H56:H57)</f>
        <v>927631629</v>
      </c>
      <c r="I55" s="196">
        <f>SUM(I56:I57)</f>
        <v>927631629</v>
      </c>
      <c r="J55" s="738">
        <f>SUM(J56:J57)</f>
        <v>0</v>
      </c>
    </row>
    <row r="56" spans="1:11" ht="28.5" x14ac:dyDescent="0.2">
      <c r="A56" s="136" t="s">
        <v>255</v>
      </c>
      <c r="B56" s="242">
        <f>B19</f>
        <v>169764970</v>
      </c>
      <c r="C56" s="197">
        <f>C19</f>
        <v>400727908</v>
      </c>
      <c r="D56" s="197">
        <f>D19</f>
        <v>162764447</v>
      </c>
      <c r="E56" s="197">
        <f>E19</f>
        <v>-237963461</v>
      </c>
      <c r="F56" s="136" t="s">
        <v>298</v>
      </c>
      <c r="G56" s="203">
        <f>G19</f>
        <v>53389205</v>
      </c>
      <c r="H56" s="197">
        <f>H19</f>
        <v>53389205</v>
      </c>
      <c r="I56" s="197">
        <f>I19</f>
        <v>53389205</v>
      </c>
      <c r="J56" s="192">
        <f>J19</f>
        <v>0</v>
      </c>
      <c r="K56" s="9"/>
    </row>
    <row r="57" spans="1:11" ht="28.5" x14ac:dyDescent="0.2">
      <c r="A57" s="136" t="s">
        <v>280</v>
      </c>
      <c r="B57" s="242">
        <f>B41</f>
        <v>2704732064</v>
      </c>
      <c r="C57" s="197">
        <f>C41</f>
        <v>2718367656</v>
      </c>
      <c r="D57" s="197">
        <f>D41</f>
        <v>2956331117</v>
      </c>
      <c r="E57" s="197">
        <f>E41</f>
        <v>237963461</v>
      </c>
      <c r="F57" s="136" t="s">
        <v>299</v>
      </c>
      <c r="G57" s="203">
        <f>G41</f>
        <v>74242424</v>
      </c>
      <c r="H57" s="197">
        <f>H41</f>
        <v>874242424</v>
      </c>
      <c r="I57" s="197">
        <f>I41</f>
        <v>874242424</v>
      </c>
      <c r="J57" s="192">
        <f>J41</f>
        <v>0</v>
      </c>
      <c r="K57" s="9"/>
    </row>
    <row r="58" spans="1:11" s="1" customFormat="1" ht="15" x14ac:dyDescent="0.25">
      <c r="A58" s="176" t="s">
        <v>300</v>
      </c>
      <c r="B58" s="243">
        <f>SUM(B59:B60)</f>
        <v>438387185</v>
      </c>
      <c r="C58" s="196">
        <f>SUM(C59:C60)</f>
        <v>2302112000</v>
      </c>
      <c r="D58" s="196">
        <f>SUM(D59:D60)</f>
        <v>2302112000</v>
      </c>
      <c r="E58" s="196">
        <f>SUM(E59:E60)</f>
        <v>0</v>
      </c>
      <c r="F58" s="176"/>
      <c r="G58" s="201"/>
      <c r="H58" s="474"/>
      <c r="I58" s="474"/>
      <c r="J58" s="739"/>
    </row>
    <row r="59" spans="1:11" ht="28.5" x14ac:dyDescent="0.2">
      <c r="A59" s="262" t="s">
        <v>258</v>
      </c>
      <c r="B59" s="242">
        <f>B21</f>
        <v>12800000</v>
      </c>
      <c r="C59" s="197">
        <f>C21</f>
        <v>289413683</v>
      </c>
      <c r="D59" s="197">
        <f>D21</f>
        <v>289413683</v>
      </c>
      <c r="E59" s="197">
        <f>E21</f>
        <v>0</v>
      </c>
      <c r="F59" s="262"/>
      <c r="G59" s="200"/>
      <c r="H59" s="255"/>
      <c r="I59" s="255"/>
      <c r="J59" s="192"/>
      <c r="K59" s="9"/>
    </row>
    <row r="60" spans="1:11" ht="29.25" x14ac:dyDescent="0.25">
      <c r="A60" s="178" t="s">
        <v>283</v>
      </c>
      <c r="B60" s="242">
        <f>B43</f>
        <v>425587185</v>
      </c>
      <c r="C60" s="197">
        <f>C43</f>
        <v>2012698317</v>
      </c>
      <c r="D60" s="197">
        <f>D43</f>
        <v>2012698317</v>
      </c>
      <c r="E60" s="197">
        <f>E43</f>
        <v>0</v>
      </c>
      <c r="F60" s="176"/>
      <c r="G60" s="200"/>
      <c r="H60" s="299"/>
      <c r="I60" s="299"/>
      <c r="J60" s="738"/>
      <c r="K60" s="9"/>
    </row>
    <row r="61" spans="1:11" s="1" customFormat="1" ht="15.75" thickBot="1" x14ac:dyDescent="0.3">
      <c r="A61" s="138" t="s">
        <v>42</v>
      </c>
      <c r="B61" s="475">
        <f>B53+B55+B58</f>
        <v>12990398078</v>
      </c>
      <c r="C61" s="198">
        <f>C53+C55+C58</f>
        <v>16806629792</v>
      </c>
      <c r="D61" s="198">
        <f>D53+D55+D58</f>
        <v>16389842042</v>
      </c>
      <c r="E61" s="198">
        <f>E53+E55+E58</f>
        <v>-416787750</v>
      </c>
      <c r="F61" s="138" t="s">
        <v>301</v>
      </c>
      <c r="G61" s="205">
        <f>G53+G55</f>
        <v>12990398078</v>
      </c>
      <c r="H61" s="198">
        <f>H53+H55</f>
        <v>16806629792</v>
      </c>
      <c r="I61" s="198">
        <f>I53+I55</f>
        <v>16389842042</v>
      </c>
      <c r="J61" s="740">
        <f>J53+J55</f>
        <v>-416787750</v>
      </c>
    </row>
    <row r="62" spans="1:11" x14ac:dyDescent="0.2">
      <c r="G62" s="389">
        <f>B61-G61</f>
        <v>0</v>
      </c>
      <c r="H62" s="389">
        <f>C61-H61</f>
        <v>0</v>
      </c>
      <c r="I62" s="389">
        <f>D61-I61</f>
        <v>0</v>
      </c>
      <c r="J62" s="389">
        <f>E61-J61</f>
        <v>0</v>
      </c>
      <c r="K62" s="389">
        <f>'1.sz.tábla   (2)'!E39</f>
        <v>-416787750</v>
      </c>
    </row>
  </sheetData>
  <sheetProtection selectLockedCells="1" selectUnlockedCells="1"/>
  <mergeCells count="4">
    <mergeCell ref="C2:K2"/>
    <mergeCell ref="A4:K4"/>
    <mergeCell ref="A27:K27"/>
    <mergeCell ref="A48:K48"/>
  </mergeCells>
  <pageMargins left="0.74791666666666667" right="0.74791666666666667" top="0.98402777777777772" bottom="0.98402777777777772" header="0.51180555555555551" footer="0.51180555555555551"/>
  <pageSetup paperSize="9" scale="54" firstPageNumber="0" orientation="landscape" r:id="rId1"/>
  <headerFooter alignWithMargins="0">
    <oddHeader>&amp;C8. melléklet 
 az önkormányzat 2020. évi költségvetéséről szóló 6/2019. (III.06.) önkormányzati rendelethez
a 42/2020. (XII.21.) önkormányzati rendelet módosítással egységes szerkezetbe foglalva&amp;R&amp;P. oldal</oddHeader>
  </headerFooter>
  <rowBreaks count="2" manualBreakCount="2">
    <brk id="26" max="9"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L67"/>
  <sheetViews>
    <sheetView view="pageLayout" topLeftCell="D61" zoomScaleNormal="100" zoomScaleSheetLayoutView="89" workbookViewId="0">
      <selection activeCell="F70" sqref="F70"/>
    </sheetView>
  </sheetViews>
  <sheetFormatPr defaultColWidth="9.140625" defaultRowHeight="14.25" x14ac:dyDescent="0.2"/>
  <cols>
    <col min="1" max="1" width="45.7109375" style="387" customWidth="1"/>
    <col min="2" max="2" width="15.140625" style="801" bestFit="1" customWidth="1"/>
    <col min="3" max="3" width="15.85546875" style="801" customWidth="1"/>
    <col min="4" max="4" width="16.28515625" style="801" customWidth="1"/>
    <col min="5" max="5" width="45.85546875" style="387" customWidth="1"/>
    <col min="6" max="6" width="14" style="801" customWidth="1"/>
    <col min="7" max="7" width="16" style="801" customWidth="1"/>
    <col min="8" max="8" width="16.140625" style="801" customWidth="1"/>
    <col min="9" max="9" width="15.85546875" style="9" customWidth="1"/>
    <col min="10" max="10" width="10.42578125" style="9" customWidth="1"/>
    <col min="11" max="11" width="9.140625" style="9"/>
    <col min="12" max="12" width="12.28515625" style="9" customWidth="1"/>
    <col min="13" max="16384" width="9.140625" style="9"/>
  </cols>
  <sheetData>
    <row r="1" spans="1:12" x14ac:dyDescent="0.2">
      <c r="B1" s="1999"/>
      <c r="C1" s="1999"/>
      <c r="D1" s="1999"/>
      <c r="E1" s="1999"/>
      <c r="F1" s="1999"/>
      <c r="G1" s="1999"/>
      <c r="H1" s="1999"/>
    </row>
    <row r="2" spans="1:12" x14ac:dyDescent="0.2">
      <c r="B2" s="1999"/>
      <c r="C2" s="1999"/>
      <c r="D2" s="1999"/>
      <c r="E2" s="1999"/>
      <c r="F2" s="1999"/>
      <c r="G2" s="1999"/>
      <c r="H2" s="1999"/>
    </row>
    <row r="3" spans="1:12" ht="15" x14ac:dyDescent="0.25">
      <c r="A3" s="2000" t="s">
        <v>979</v>
      </c>
      <c r="B3" s="2000"/>
      <c r="C3" s="2000"/>
      <c r="D3" s="2000"/>
      <c r="E3" s="2000"/>
      <c r="F3" s="2000"/>
      <c r="G3" s="2000"/>
      <c r="H3" s="2000"/>
    </row>
    <row r="5" spans="1:12" ht="15.75" customHeight="1" x14ac:dyDescent="0.25">
      <c r="A5" s="1998" t="s">
        <v>719</v>
      </c>
      <c r="B5" s="1998"/>
      <c r="C5" s="1998"/>
      <c r="D5" s="1998"/>
      <c r="E5" s="1998"/>
      <c r="F5" s="1998"/>
      <c r="G5" s="1998"/>
      <c r="H5" s="1998"/>
    </row>
    <row r="6" spans="1:12" ht="15" thickBot="1" x14ac:dyDescent="0.25"/>
    <row r="7" spans="1:12" s="66" customFormat="1" ht="30.75" thickBot="1" x14ac:dyDescent="0.3">
      <c r="A7" s="802" t="s">
        <v>241</v>
      </c>
      <c r="B7" s="803" t="s">
        <v>770</v>
      </c>
      <c r="C7" s="804" t="s">
        <v>387</v>
      </c>
      <c r="D7" s="805" t="s">
        <v>771</v>
      </c>
      <c r="E7" s="806" t="s">
        <v>242</v>
      </c>
      <c r="F7" s="803" t="s">
        <v>770</v>
      </c>
      <c r="G7" s="804" t="s">
        <v>387</v>
      </c>
      <c r="H7" s="805" t="s">
        <v>771</v>
      </c>
    </row>
    <row r="8" spans="1:12" ht="26.25" customHeight="1" x14ac:dyDescent="0.2">
      <c r="A8" s="807" t="s">
        <v>243</v>
      </c>
      <c r="B8" s="808">
        <f>'2.sz.tábla   (2)'!H7+'2.sz.tábla   (2)'!L7+'3.sz. tábla  (2)'!D12+'3.sz. tábla  (2)'!D13</f>
        <v>485301407.07478428</v>
      </c>
      <c r="C8" s="808">
        <f>'2.sz.tábla   (2)'!D7-'3.sz. tábla  (2)'!D14</f>
        <v>1158700730.9252157</v>
      </c>
      <c r="D8" s="809">
        <f>SUM(B8:C8)</f>
        <v>1644002138</v>
      </c>
      <c r="E8" s="810" t="s">
        <v>131</v>
      </c>
      <c r="F8" s="811">
        <f>'4.sz.tábla '!D11</f>
        <v>560969178</v>
      </c>
      <c r="G8" s="808">
        <f>'5.tábla (2)'!D46</f>
        <v>125848387</v>
      </c>
      <c r="H8" s="809">
        <f>SUM(F8:G8)</f>
        <v>686817565</v>
      </c>
      <c r="I8" s="40"/>
    </row>
    <row r="9" spans="1:12" x14ac:dyDescent="0.2">
      <c r="A9" s="812" t="s">
        <v>244</v>
      </c>
      <c r="B9" s="808">
        <f>'2.sz.tábla   (2)'!H30</f>
        <v>0</v>
      </c>
      <c r="C9" s="808">
        <f>'2.sz.tábla   (2)'!D30</f>
        <v>1627117610</v>
      </c>
      <c r="D9" s="809">
        <f t="shared" ref="D9:D14" si="0">SUM(B9:C9)</f>
        <v>1627117610</v>
      </c>
      <c r="E9" s="813" t="s">
        <v>245</v>
      </c>
      <c r="F9" s="814">
        <f>'4.sz.tábla '!H11</f>
        <v>103305762</v>
      </c>
      <c r="G9" s="815">
        <f>'5.tábla (2)'!D61</f>
        <v>21158997</v>
      </c>
      <c r="H9" s="809">
        <f t="shared" ref="H9:H16" si="1">SUM(F9:G9)</f>
        <v>124464759</v>
      </c>
      <c r="I9" s="40"/>
    </row>
    <row r="10" spans="1:12" ht="15" x14ac:dyDescent="0.2">
      <c r="A10" s="816" t="s">
        <v>246</v>
      </c>
      <c r="B10" s="808">
        <f>'2.sz.tábla   (2)'!H43+'2.sz.tábla   (2)'!L43</f>
        <v>82603343</v>
      </c>
      <c r="C10" s="808">
        <f>'2.sz.tábla   (2)'!D43-'8a. sz. tábla  (4)'!C34</f>
        <v>597744526</v>
      </c>
      <c r="D10" s="809">
        <f t="shared" si="0"/>
        <v>680347869</v>
      </c>
      <c r="E10" s="813" t="s">
        <v>249</v>
      </c>
      <c r="F10" s="814">
        <f>'4.sz.tábla '!L11</f>
        <v>217265902</v>
      </c>
      <c r="G10" s="808">
        <f>'5.tábla (2)'!D75</f>
        <v>1111068870</v>
      </c>
      <c r="H10" s="809">
        <f t="shared" si="1"/>
        <v>1328334772</v>
      </c>
      <c r="I10" s="40"/>
      <c r="J10" s="7"/>
      <c r="K10" s="8"/>
      <c r="L10" s="8"/>
    </row>
    <row r="11" spans="1:12" ht="28.5" x14ac:dyDescent="0.2">
      <c r="A11" s="812" t="s">
        <v>250</v>
      </c>
      <c r="B11" s="808">
        <f>'2.sz.tábla   (2)'!H66+'2.sz.tábla   (2)'!L66</f>
        <v>0</v>
      </c>
      <c r="C11" s="808">
        <f>'2.sz.tábla   (2)'!D66</f>
        <v>19720754</v>
      </c>
      <c r="D11" s="809">
        <f t="shared" si="0"/>
        <v>19720754</v>
      </c>
      <c r="E11" s="810" t="s">
        <v>150</v>
      </c>
      <c r="F11" s="814">
        <f>'4.sz.tábla '!S11</f>
        <v>0</v>
      </c>
      <c r="G11" s="808">
        <f>'5.tábla (2)'!D124</f>
        <v>30600000</v>
      </c>
      <c r="H11" s="809">
        <f t="shared" si="1"/>
        <v>30600000</v>
      </c>
      <c r="I11" s="40"/>
    </row>
    <row r="12" spans="1:12" x14ac:dyDescent="0.2">
      <c r="A12" s="817"/>
      <c r="B12" s="808"/>
      <c r="C12" s="808"/>
      <c r="D12" s="809">
        <f t="shared" si="0"/>
        <v>0</v>
      </c>
      <c r="E12" s="813" t="s">
        <v>129</v>
      </c>
      <c r="F12" s="818"/>
      <c r="G12" s="818"/>
      <c r="H12" s="809"/>
      <c r="I12" s="40"/>
    </row>
    <row r="13" spans="1:12" x14ac:dyDescent="0.2">
      <c r="A13" s="817"/>
      <c r="B13" s="808"/>
      <c r="C13" s="808"/>
      <c r="D13" s="809">
        <f t="shared" si="0"/>
        <v>0</v>
      </c>
      <c r="E13" s="813" t="s">
        <v>324</v>
      </c>
      <c r="F13" s="818"/>
      <c r="G13" s="808">
        <f>'5.tábla (2)'!D135</f>
        <v>7183231</v>
      </c>
      <c r="H13" s="809">
        <f t="shared" si="1"/>
        <v>7183231</v>
      </c>
      <c r="I13" s="40"/>
    </row>
    <row r="14" spans="1:12" ht="28.5" x14ac:dyDescent="0.2">
      <c r="A14" s="812"/>
      <c r="B14" s="808"/>
      <c r="C14" s="808"/>
      <c r="D14" s="809">
        <f t="shared" si="0"/>
        <v>0</v>
      </c>
      <c r="E14" s="813" t="s">
        <v>325</v>
      </c>
      <c r="F14" s="814">
        <f>'4.sz.tábla '!U11</f>
        <v>2973949</v>
      </c>
      <c r="G14" s="808">
        <f>'5.tábla (2)'!D139</f>
        <v>509783666</v>
      </c>
      <c r="H14" s="809">
        <f t="shared" si="1"/>
        <v>512757615</v>
      </c>
      <c r="I14" s="40"/>
    </row>
    <row r="15" spans="1:12" ht="28.5" x14ac:dyDescent="0.2">
      <c r="A15" s="819"/>
      <c r="B15" s="808"/>
      <c r="C15" s="808"/>
      <c r="D15" s="809"/>
      <c r="E15" s="820" t="s">
        <v>326</v>
      </c>
      <c r="F15" s="814"/>
      <c r="G15" s="815">
        <f>'5.tábla (2)'!D144</f>
        <v>712189503</v>
      </c>
      <c r="H15" s="809">
        <f t="shared" si="1"/>
        <v>712189503</v>
      </c>
      <c r="I15" s="40"/>
    </row>
    <row r="16" spans="1:12" ht="28.5" x14ac:dyDescent="0.2">
      <c r="A16" s="812"/>
      <c r="B16" s="808"/>
      <c r="C16" s="808"/>
      <c r="D16" s="809"/>
      <c r="E16" s="813" t="s">
        <v>327</v>
      </c>
      <c r="F16" s="814"/>
      <c r="G16" s="808">
        <f>'5.tábla (2)'!D141</f>
        <v>0</v>
      </c>
      <c r="H16" s="809">
        <f t="shared" si="1"/>
        <v>0</v>
      </c>
      <c r="I16" s="40"/>
    </row>
    <row r="17" spans="1:9" x14ac:dyDescent="0.2">
      <c r="A17" s="817"/>
      <c r="B17" s="808"/>
      <c r="C17" s="808"/>
      <c r="D17" s="809"/>
      <c r="E17" s="821" t="s">
        <v>318</v>
      </c>
      <c r="F17" s="814"/>
      <c r="G17" s="822">
        <f>'1.sz.tábla   (2)'!D30-'8a. sz. tábla  (4)'!G39</f>
        <v>131124997</v>
      </c>
      <c r="H17" s="809">
        <f>SUM(F17:G17)</f>
        <v>131124997</v>
      </c>
      <c r="I17" s="40"/>
    </row>
    <row r="18" spans="1:9" ht="15" x14ac:dyDescent="0.25">
      <c r="A18" s="823" t="s">
        <v>251</v>
      </c>
      <c r="B18" s="824">
        <f>SUM(B8:B17)</f>
        <v>567904750.07478428</v>
      </c>
      <c r="C18" s="824">
        <f>SUM(C8:C17)</f>
        <v>3403283620.9252157</v>
      </c>
      <c r="D18" s="825">
        <f>SUM(D8:D17)</f>
        <v>3971188371</v>
      </c>
      <c r="E18" s="826" t="s">
        <v>252</v>
      </c>
      <c r="F18" s="827">
        <f>F8+F9+F10+F11+F12+F17+F14</f>
        <v>884514791</v>
      </c>
      <c r="G18" s="827">
        <f>SUM(G8:G17)</f>
        <v>2648957651</v>
      </c>
      <c r="H18" s="827">
        <f>H8+H9+H10+H11+H14+H15+H16+H17+H13</f>
        <v>3533472442</v>
      </c>
      <c r="I18" s="40">
        <f>SUM(F18:G18)</f>
        <v>3533472442</v>
      </c>
    </row>
    <row r="19" spans="1:9" ht="15" x14ac:dyDescent="0.25">
      <c r="A19" s="823" t="s">
        <v>253</v>
      </c>
      <c r="B19" s="824">
        <f>B18-F18</f>
        <v>-316610040.92521572</v>
      </c>
      <c r="C19" s="824">
        <f>C18-G18</f>
        <v>754325969.92521572</v>
      </c>
      <c r="D19" s="825">
        <f>D18-H18</f>
        <v>437715929</v>
      </c>
      <c r="E19" s="828" t="s">
        <v>254</v>
      </c>
      <c r="F19" s="814"/>
      <c r="G19" s="829"/>
      <c r="H19" s="830"/>
    </row>
    <row r="20" spans="1:9" ht="30" x14ac:dyDescent="0.25">
      <c r="A20" s="831" t="s">
        <v>255</v>
      </c>
      <c r="B20" s="829">
        <f>SUM(B21)</f>
        <v>41733232</v>
      </c>
      <c r="C20" s="829">
        <f>SUM(C21)</f>
        <v>121031215</v>
      </c>
      <c r="D20" s="830">
        <f>SUM(B20:C20)</f>
        <v>162764447</v>
      </c>
      <c r="E20" s="828" t="s">
        <v>256</v>
      </c>
      <c r="F20" s="832">
        <f>SUM(F21:F21)</f>
        <v>0</v>
      </c>
      <c r="G20" s="824">
        <f>SUM(G21:G25)</f>
        <v>53389205</v>
      </c>
      <c r="H20" s="825">
        <f>G20-F20</f>
        <v>53389205</v>
      </c>
    </row>
    <row r="21" spans="1:9" ht="28.5" x14ac:dyDescent="0.2">
      <c r="A21" s="817" t="s">
        <v>257</v>
      </c>
      <c r="B21" s="808">
        <f>'2.sz.tábla   (2)'!H77+'2.sz.tábla   (2)'!L77</f>
        <v>41733232</v>
      </c>
      <c r="C21" s="808">
        <f>'2.sz.tábla   (2)'!D77</f>
        <v>121031215</v>
      </c>
      <c r="D21" s="809">
        <f>SUM(B21:C21)</f>
        <v>162764447</v>
      </c>
      <c r="E21" s="817" t="s">
        <v>524</v>
      </c>
      <c r="F21" s="814"/>
      <c r="G21" s="808">
        <f>'7. sz. tábla 1'!D236</f>
        <v>53389205</v>
      </c>
      <c r="H21" s="809">
        <f>SUM(F21:G21)</f>
        <v>53389205</v>
      </c>
    </row>
    <row r="22" spans="1:9" ht="30" x14ac:dyDescent="0.25">
      <c r="A22" s="823" t="s">
        <v>258</v>
      </c>
      <c r="B22" s="808"/>
      <c r="C22" s="833">
        <f>SUM(C23:C25)</f>
        <v>289413683</v>
      </c>
      <c r="D22" s="834">
        <f>SUM(B22:C22)</f>
        <v>289413683</v>
      </c>
      <c r="E22" s="813" t="s">
        <v>328</v>
      </c>
      <c r="F22" s="814"/>
      <c r="G22" s="808"/>
      <c r="H22" s="809">
        <f>SUM(F22:G22)</f>
        <v>0</v>
      </c>
    </row>
    <row r="23" spans="1:9" ht="15" x14ac:dyDescent="0.25">
      <c r="A23" s="835" t="s">
        <v>259</v>
      </c>
      <c r="B23" s="808"/>
      <c r="C23" s="808">
        <f>'8. sz. tábla  (3)'!D22</f>
        <v>276613683</v>
      </c>
      <c r="D23" s="809">
        <f>SUM(B23:C23)</f>
        <v>276613683</v>
      </c>
      <c r="E23" s="817" t="s">
        <v>341</v>
      </c>
      <c r="F23" s="814"/>
      <c r="G23" s="836"/>
      <c r="H23" s="809">
        <f>SUM(F23:G23)</f>
        <v>0</v>
      </c>
    </row>
    <row r="24" spans="1:9" x14ac:dyDescent="0.2">
      <c r="A24" s="817" t="s">
        <v>260</v>
      </c>
      <c r="B24" s="808"/>
      <c r="C24" s="837"/>
      <c r="D24" s="838"/>
      <c r="E24" s="839" t="s">
        <v>339</v>
      </c>
      <c r="F24" s="818"/>
      <c r="G24" s="840"/>
      <c r="H24" s="809">
        <f>SUM(F24:G24)</f>
        <v>0</v>
      </c>
    </row>
    <row r="25" spans="1:9" ht="29.25" thickBot="1" x14ac:dyDescent="0.25">
      <c r="A25" s="835" t="s">
        <v>340</v>
      </c>
      <c r="B25" s="822"/>
      <c r="C25" s="822">
        <f>'2.sz.tábla   (2)'!D90</f>
        <v>12800000</v>
      </c>
      <c r="D25" s="841">
        <f>SUM(B25:C25)</f>
        <v>12800000</v>
      </c>
      <c r="E25" s="842"/>
      <c r="F25" s="843"/>
      <c r="G25" s="844"/>
      <c r="H25" s="845"/>
    </row>
    <row r="26" spans="1:9" ht="15.75" thickBot="1" x14ac:dyDescent="0.3">
      <c r="A26" s="802" t="s">
        <v>261</v>
      </c>
      <c r="B26" s="846">
        <f>B18+B20+B22</f>
        <v>609637982.07478428</v>
      </c>
      <c r="C26" s="846">
        <f>C18+C20+C22</f>
        <v>3813728518.9252157</v>
      </c>
      <c r="D26" s="847">
        <f>D18+D20+D22</f>
        <v>4423366501</v>
      </c>
      <c r="E26" s="806" t="s">
        <v>262</v>
      </c>
      <c r="F26" s="848">
        <f>F18+F20</f>
        <v>884514791</v>
      </c>
      <c r="G26" s="846">
        <f>G18+G20</f>
        <v>2702346856</v>
      </c>
      <c r="H26" s="847">
        <f>H18+H20</f>
        <v>3586861647</v>
      </c>
    </row>
    <row r="28" spans="1:9" ht="15.75" customHeight="1" x14ac:dyDescent="0.25">
      <c r="A28" s="1998" t="s">
        <v>721</v>
      </c>
      <c r="B28" s="1998"/>
      <c r="C28" s="1998"/>
      <c r="D28" s="1998"/>
      <c r="E28" s="1998"/>
      <c r="F28" s="1998"/>
      <c r="G28" s="1998"/>
      <c r="H28" s="1998"/>
    </row>
    <row r="29" spans="1:9" ht="15" thickBot="1" x14ac:dyDescent="0.25"/>
    <row r="30" spans="1:9" s="66" customFormat="1" ht="30.75" thickBot="1" x14ac:dyDescent="0.25">
      <c r="A30" s="849" t="s">
        <v>263</v>
      </c>
      <c r="B30" s="803" t="s">
        <v>770</v>
      </c>
      <c r="C30" s="804" t="s">
        <v>387</v>
      </c>
      <c r="D30" s="805" t="s">
        <v>771</v>
      </c>
      <c r="E30" s="850" t="s">
        <v>264</v>
      </c>
      <c r="F30" s="803" t="s">
        <v>770</v>
      </c>
      <c r="G30" s="804" t="s">
        <v>387</v>
      </c>
      <c r="H30" s="805" t="s">
        <v>771</v>
      </c>
    </row>
    <row r="31" spans="1:9" ht="28.5" x14ac:dyDescent="0.2">
      <c r="A31" s="807" t="s">
        <v>265</v>
      </c>
      <c r="B31" s="808">
        <f>'2.sz.tábla   (2)'!H22+'2.sz.tábla   (2)'!L22</f>
        <v>3468000</v>
      </c>
      <c r="C31" s="808">
        <f>'2.sz.tábla   (2)'!D22</f>
        <v>6283131318</v>
      </c>
      <c r="D31" s="851">
        <f>SUM(B31:C31)</f>
        <v>6286599318</v>
      </c>
      <c r="E31" s="852" t="s">
        <v>266</v>
      </c>
      <c r="F31" s="853"/>
      <c r="G31" s="853">
        <f>'7. sz. tábla 1'!D170</f>
        <v>9762627560</v>
      </c>
      <c r="H31" s="854">
        <f>SUM(F31:G31)</f>
        <v>9762627560</v>
      </c>
    </row>
    <row r="32" spans="1:9" x14ac:dyDescent="0.2">
      <c r="A32" s="817" t="s">
        <v>267</v>
      </c>
      <c r="B32" s="808">
        <f>'2.sz.tábla   (2)'!H58+'2.sz.tábla   (2)'!L58</f>
        <v>1070000</v>
      </c>
      <c r="C32" s="808">
        <f>'2.sz.tábla   (2)'!D58</f>
        <v>269453434</v>
      </c>
      <c r="D32" s="855">
        <f>SUM(B32:C32)</f>
        <v>270523434</v>
      </c>
      <c r="E32" s="856" t="s">
        <v>268</v>
      </c>
      <c r="F32" s="857">
        <f>'4.sz.tábla '!Y11</f>
        <v>42465272</v>
      </c>
      <c r="G32" s="840"/>
      <c r="H32" s="858">
        <f t="shared" ref="H32:H39" si="2">SUM(F32:G32)</f>
        <v>42465272</v>
      </c>
    </row>
    <row r="33" spans="1:11" x14ac:dyDescent="0.2">
      <c r="A33" s="817" t="s">
        <v>269</v>
      </c>
      <c r="B33" s="808">
        <f>'2.sz.tábla   (2)'!H70+'2.sz.tábla   (2)'!L70</f>
        <v>0</v>
      </c>
      <c r="C33" s="808">
        <f>'2.sz.tábla   (2)'!D70</f>
        <v>223000542</v>
      </c>
      <c r="D33" s="855">
        <f>SUM(B33:C33)</f>
        <v>223000542</v>
      </c>
      <c r="E33" s="856" t="s">
        <v>270</v>
      </c>
      <c r="F33" s="857"/>
      <c r="G33" s="857">
        <f>'7. sz. tábla 1'!D242</f>
        <v>112001247</v>
      </c>
      <c r="H33" s="858">
        <f t="shared" si="2"/>
        <v>112001247</v>
      </c>
    </row>
    <row r="34" spans="1:11" ht="28.5" x14ac:dyDescent="0.2">
      <c r="A34" s="136" t="s">
        <v>1</v>
      </c>
      <c r="B34" s="808"/>
      <c r="C34" s="808">
        <f>'8. sz. tábla  (3)'!D33</f>
        <v>217322813</v>
      </c>
      <c r="D34" s="855">
        <f>SUM(B34:C34)</f>
        <v>217322813</v>
      </c>
      <c r="E34" s="856" t="s">
        <v>271</v>
      </c>
      <c r="F34" s="857"/>
      <c r="G34" s="857"/>
      <c r="H34" s="858"/>
    </row>
    <row r="35" spans="1:11" ht="28.5" x14ac:dyDescent="0.2">
      <c r="A35" s="817"/>
      <c r="B35" s="808"/>
      <c r="C35" s="815"/>
      <c r="D35" s="859"/>
      <c r="E35" s="856" t="s">
        <v>272</v>
      </c>
      <c r="F35" s="840"/>
      <c r="G35" s="840">
        <f>'7. sz. tábla 1'!D191</f>
        <v>191927486</v>
      </c>
      <c r="H35" s="858">
        <f>SUM(F35:G35)</f>
        <v>191927486</v>
      </c>
    </row>
    <row r="36" spans="1:11" ht="27" customHeight="1" x14ac:dyDescent="0.2">
      <c r="A36" s="817"/>
      <c r="B36" s="808"/>
      <c r="C36" s="815"/>
      <c r="D36" s="859"/>
      <c r="E36" s="860" t="s">
        <v>273</v>
      </c>
      <c r="F36" s="857"/>
      <c r="G36" s="861">
        <f>'7. sz. tábla 1'!D179</f>
        <v>1598001859</v>
      </c>
      <c r="H36" s="858">
        <f t="shared" si="2"/>
        <v>1598001859</v>
      </c>
    </row>
    <row r="37" spans="1:11" ht="28.5" x14ac:dyDescent="0.2">
      <c r="A37" s="817"/>
      <c r="B37" s="808"/>
      <c r="C37" s="862"/>
      <c r="D37" s="855"/>
      <c r="E37" s="856" t="s">
        <v>343</v>
      </c>
      <c r="F37" s="857"/>
      <c r="G37" s="857">
        <f>'7. sz. tábla 1'!D178</f>
        <v>0</v>
      </c>
      <c r="H37" s="858">
        <f t="shared" si="2"/>
        <v>0</v>
      </c>
    </row>
    <row r="38" spans="1:11" ht="28.5" x14ac:dyDescent="0.2">
      <c r="A38" s="817"/>
      <c r="B38" s="808"/>
      <c r="C38" s="857"/>
      <c r="D38" s="855"/>
      <c r="E38" s="856" t="s">
        <v>772</v>
      </c>
      <c r="F38" s="857"/>
      <c r="G38" s="857">
        <f>'7. sz. tábla 1'!D173</f>
        <v>17731099</v>
      </c>
      <c r="H38" s="858">
        <f t="shared" si="2"/>
        <v>17731099</v>
      </c>
    </row>
    <row r="39" spans="1:11" x14ac:dyDescent="0.2">
      <c r="A39" s="817"/>
      <c r="B39" s="808"/>
      <c r="C39" s="857"/>
      <c r="D39" s="855"/>
      <c r="E39" s="856" t="s">
        <v>19</v>
      </c>
      <c r="F39" s="857"/>
      <c r="G39" s="857">
        <f>'8. sz. tábla  (3)'!I38</f>
        <v>203983448</v>
      </c>
      <c r="H39" s="858">
        <f t="shared" si="2"/>
        <v>203983448</v>
      </c>
    </row>
    <row r="40" spans="1:11" ht="30" x14ac:dyDescent="0.25">
      <c r="A40" s="823" t="s">
        <v>275</v>
      </c>
      <c r="B40" s="832">
        <f>SUM(B31:B37)</f>
        <v>4538000</v>
      </c>
      <c r="C40" s="836">
        <f>SUM(C31:C37)</f>
        <v>6992908107</v>
      </c>
      <c r="D40" s="863">
        <f>SUM(D31:D37)</f>
        <v>6997446107</v>
      </c>
      <c r="E40" s="864" t="s">
        <v>276</v>
      </c>
      <c r="F40" s="865">
        <f>SUM(F31:F34)</f>
        <v>42465272</v>
      </c>
      <c r="G40" s="865">
        <f>SUM(G31:G39)</f>
        <v>11886272699</v>
      </c>
      <c r="H40" s="827">
        <f>H31+H32+H33+H35+H36+H37+H38+H39</f>
        <v>11928737971</v>
      </c>
      <c r="I40" s="40">
        <f>SUM(F40:G40)</f>
        <v>11928737971</v>
      </c>
      <c r="K40" s="1"/>
    </row>
    <row r="41" spans="1:11" ht="15" x14ac:dyDescent="0.25">
      <c r="A41" s="823" t="s">
        <v>277</v>
      </c>
      <c r="B41" s="814"/>
      <c r="C41" s="863"/>
      <c r="D41" s="863"/>
      <c r="E41" s="864" t="s">
        <v>279</v>
      </c>
      <c r="F41" s="865">
        <f>B40-F40</f>
        <v>-37927272</v>
      </c>
      <c r="G41" s="865">
        <f>C40-G40</f>
        <v>-4893364592</v>
      </c>
      <c r="H41" s="827">
        <f>D40-H40</f>
        <v>-4931291864</v>
      </c>
    </row>
    <row r="42" spans="1:11" ht="30" x14ac:dyDescent="0.25">
      <c r="A42" s="823" t="s">
        <v>280</v>
      </c>
      <c r="B42" s="832">
        <f>SUM(B43)</f>
        <v>22721142</v>
      </c>
      <c r="C42" s="866">
        <f>SUM(C43)</f>
        <v>2933609975</v>
      </c>
      <c r="D42" s="863">
        <f>SUM(D43)</f>
        <v>2956331117</v>
      </c>
      <c r="E42" s="864" t="s">
        <v>281</v>
      </c>
      <c r="F42" s="865">
        <f>SUM(F43:F44)</f>
        <v>0</v>
      </c>
      <c r="G42" s="865">
        <f>SUM(G43:G44)</f>
        <v>874242424</v>
      </c>
      <c r="H42" s="827">
        <f>SUM(H43:H45)</f>
        <v>874242424</v>
      </c>
    </row>
    <row r="43" spans="1:11" x14ac:dyDescent="0.2">
      <c r="A43" s="817" t="s">
        <v>282</v>
      </c>
      <c r="B43" s="814">
        <f>'2.sz.tábla   (2)'!L78+'2.sz.tábla   (2)'!H78</f>
        <v>22721142</v>
      </c>
      <c r="C43" s="855">
        <f>'2.sz.tábla   (2)'!D78</f>
        <v>2933609975</v>
      </c>
      <c r="D43" s="855">
        <f>SUM(B43:C43)</f>
        <v>2956331117</v>
      </c>
      <c r="E43" s="856" t="s">
        <v>773</v>
      </c>
      <c r="F43" s="857"/>
      <c r="G43" s="857"/>
      <c r="H43" s="858">
        <f>SUM(F43:G43)</f>
        <v>0</v>
      </c>
    </row>
    <row r="44" spans="1:11" ht="30" x14ac:dyDescent="0.25">
      <c r="A44" s="823" t="s">
        <v>283</v>
      </c>
      <c r="B44" s="832">
        <f>SUM(B45:B46)</f>
        <v>0</v>
      </c>
      <c r="C44" s="824">
        <f>SUM(C45:C46)</f>
        <v>2012698317</v>
      </c>
      <c r="D44" s="863">
        <f>SUM(D45:D46)</f>
        <v>2012698317</v>
      </c>
      <c r="E44" s="856" t="s">
        <v>284</v>
      </c>
      <c r="F44" s="857"/>
      <c r="G44" s="857">
        <f>'8. sz. tábla  (3)'!I43</f>
        <v>874242424</v>
      </c>
      <c r="H44" s="858">
        <f>SUM(F44:G44)</f>
        <v>874242424</v>
      </c>
    </row>
    <row r="45" spans="1:11" ht="28.5" x14ac:dyDescent="0.2">
      <c r="A45" s="835" t="s">
        <v>285</v>
      </c>
      <c r="B45" s="814"/>
      <c r="C45" s="855">
        <f>'2.sz.tábla   (2)'!D84-C23</f>
        <v>492698317</v>
      </c>
      <c r="D45" s="855">
        <f>SUM(B45:C45)</f>
        <v>492698317</v>
      </c>
      <c r="E45" s="856" t="s">
        <v>525</v>
      </c>
      <c r="F45" s="857"/>
      <c r="G45" s="857"/>
      <c r="H45" s="858"/>
    </row>
    <row r="46" spans="1:11" ht="15" thickBot="1" x14ac:dyDescent="0.25">
      <c r="A46" s="835" t="s">
        <v>286</v>
      </c>
      <c r="B46" s="867"/>
      <c r="C46" s="868">
        <f>'8. sz. tábla  (3)'!D45</f>
        <v>1520000000</v>
      </c>
      <c r="D46" s="855">
        <f>SUM(B46:C46)</f>
        <v>1520000000</v>
      </c>
      <c r="E46" s="869"/>
      <c r="F46" s="870"/>
      <c r="G46" s="870"/>
      <c r="H46" s="871"/>
    </row>
    <row r="47" spans="1:11" ht="15.75" thickBot="1" x14ac:dyDescent="0.3">
      <c r="A47" s="802" t="s">
        <v>287</v>
      </c>
      <c r="B47" s="848">
        <f>B40+B42+B44</f>
        <v>27259142</v>
      </c>
      <c r="C47" s="846">
        <f>C40+C42+C44</f>
        <v>11939216399</v>
      </c>
      <c r="D47" s="872">
        <f>D40+D42+D44</f>
        <v>11966475541</v>
      </c>
      <c r="E47" s="873" t="s">
        <v>288</v>
      </c>
      <c r="F47" s="874">
        <f>F40+F42</f>
        <v>42465272</v>
      </c>
      <c r="G47" s="875">
        <f>G40+G42</f>
        <v>12760515123</v>
      </c>
      <c r="H47" s="876">
        <f>H40+H42</f>
        <v>12802980395</v>
      </c>
    </row>
    <row r="48" spans="1:11" ht="15" x14ac:dyDescent="0.25">
      <c r="A48" s="388"/>
      <c r="B48" s="877"/>
      <c r="C48" s="877"/>
      <c r="D48" s="877"/>
      <c r="E48" s="388"/>
      <c r="F48" s="877"/>
      <c r="G48" s="877"/>
      <c r="H48" s="877"/>
    </row>
    <row r="49" spans="1:9" ht="15.75" customHeight="1" x14ac:dyDescent="0.25">
      <c r="A49" s="1998" t="s">
        <v>720</v>
      </c>
      <c r="B49" s="1998"/>
      <c r="C49" s="1998"/>
      <c r="D49" s="1998"/>
      <c r="E49" s="1998"/>
      <c r="F49" s="1998"/>
      <c r="G49" s="1998"/>
      <c r="H49" s="1998"/>
    </row>
    <row r="50" spans="1:9" ht="15" thickBot="1" x14ac:dyDescent="0.25"/>
    <row r="51" spans="1:9" s="66" customFormat="1" ht="30.75" thickBot="1" x14ac:dyDescent="0.25">
      <c r="A51" s="849" t="s">
        <v>289</v>
      </c>
      <c r="B51" s="803" t="s">
        <v>770</v>
      </c>
      <c r="C51" s="804" t="s">
        <v>387</v>
      </c>
      <c r="D51" s="805" t="s">
        <v>771</v>
      </c>
      <c r="E51" s="849" t="s">
        <v>290</v>
      </c>
      <c r="F51" s="803" t="s">
        <v>770</v>
      </c>
      <c r="G51" s="804" t="s">
        <v>387</v>
      </c>
      <c r="H51" s="805" t="s">
        <v>771</v>
      </c>
    </row>
    <row r="52" spans="1:9" x14ac:dyDescent="0.2">
      <c r="A52" s="816" t="s">
        <v>291</v>
      </c>
      <c r="B52" s="811">
        <f>B18</f>
        <v>567904750.07478428</v>
      </c>
      <c r="C52" s="851">
        <f>C18</f>
        <v>3403283620.9252157</v>
      </c>
      <c r="D52" s="878">
        <f>D18</f>
        <v>3971188371</v>
      </c>
      <c r="E52" s="816" t="s">
        <v>292</v>
      </c>
      <c r="F52" s="811">
        <f>F18</f>
        <v>884514791</v>
      </c>
      <c r="G52" s="879">
        <f>G18</f>
        <v>2648957651</v>
      </c>
      <c r="H52" s="878">
        <f>H18</f>
        <v>3533472442</v>
      </c>
      <c r="I52" s="40">
        <f t="shared" ref="I52:I60" si="3">SUM(F52:G52)</f>
        <v>3533472442</v>
      </c>
    </row>
    <row r="53" spans="1:9" x14ac:dyDescent="0.2">
      <c r="A53" s="817" t="s">
        <v>293</v>
      </c>
      <c r="B53" s="814">
        <f>B40</f>
        <v>4538000</v>
      </c>
      <c r="C53" s="808">
        <f>C40</f>
        <v>6992908107</v>
      </c>
      <c r="D53" s="858">
        <f>D40</f>
        <v>6997446107</v>
      </c>
      <c r="E53" s="817" t="s">
        <v>294</v>
      </c>
      <c r="F53" s="814">
        <f>F40</f>
        <v>42465272</v>
      </c>
      <c r="G53" s="808">
        <f>G40</f>
        <v>11886272699</v>
      </c>
      <c r="H53" s="809">
        <f>H40</f>
        <v>11928737971</v>
      </c>
      <c r="I53" s="40">
        <f t="shared" si="3"/>
        <v>11928737971</v>
      </c>
    </row>
    <row r="54" spans="1:9" ht="15" x14ac:dyDescent="0.25">
      <c r="A54" s="823" t="s">
        <v>381</v>
      </c>
      <c r="B54" s="832">
        <f>SUM(B52:B53)</f>
        <v>572442750.07478428</v>
      </c>
      <c r="C54" s="824">
        <f>SUM(C52:C53)</f>
        <v>10396191727.925217</v>
      </c>
      <c r="D54" s="827">
        <f>SUM(D52:D53)</f>
        <v>10968634478</v>
      </c>
      <c r="E54" s="823" t="s">
        <v>397</v>
      </c>
      <c r="F54" s="832">
        <f>SUM(F52:F53)</f>
        <v>926980063</v>
      </c>
      <c r="G54" s="824">
        <f>SUM(G52:G53)</f>
        <v>14535230350</v>
      </c>
      <c r="H54" s="825">
        <f>SUM(H52:H53)</f>
        <v>15462210413</v>
      </c>
      <c r="I54" s="40">
        <f t="shared" si="3"/>
        <v>15462210413</v>
      </c>
    </row>
    <row r="55" spans="1:9" ht="15" x14ac:dyDescent="0.25">
      <c r="A55" s="823" t="s">
        <v>295</v>
      </c>
      <c r="B55" s="824"/>
      <c r="C55" s="824"/>
      <c r="D55" s="827"/>
      <c r="E55" s="823" t="s">
        <v>774</v>
      </c>
      <c r="F55" s="832">
        <f>B54-F54</f>
        <v>-354537312.92521572</v>
      </c>
      <c r="G55" s="832">
        <f>C54-G54</f>
        <v>-4139038622.0747833</v>
      </c>
      <c r="H55" s="825">
        <f>D54-H54</f>
        <v>-4493575935</v>
      </c>
      <c r="I55" s="40">
        <f t="shared" si="3"/>
        <v>-4493575934.999999</v>
      </c>
    </row>
    <row r="56" spans="1:9" ht="30" x14ac:dyDescent="0.25">
      <c r="A56" s="823" t="s">
        <v>296</v>
      </c>
      <c r="B56" s="832">
        <f>SUM(B57:B58)</f>
        <v>64454374</v>
      </c>
      <c r="C56" s="824">
        <f>SUM(C57:C58)</f>
        <v>3054641190</v>
      </c>
      <c r="D56" s="827">
        <f>SUM(D57:D58)</f>
        <v>3119095564</v>
      </c>
      <c r="E56" s="823" t="s">
        <v>297</v>
      </c>
      <c r="F56" s="832">
        <f>SUM(F57:F58)</f>
        <v>0</v>
      </c>
      <c r="G56" s="824">
        <f>SUM(G57:G58)</f>
        <v>927631629</v>
      </c>
      <c r="H56" s="825">
        <f>SUM(H57:H58)</f>
        <v>927631629</v>
      </c>
      <c r="I56" s="40">
        <f t="shared" si="3"/>
        <v>927631629</v>
      </c>
    </row>
    <row r="57" spans="1:9" ht="28.5" x14ac:dyDescent="0.2">
      <c r="A57" s="817" t="s">
        <v>255</v>
      </c>
      <c r="B57" s="814">
        <f>B20</f>
        <v>41733232</v>
      </c>
      <c r="C57" s="818">
        <f>C20</f>
        <v>121031215</v>
      </c>
      <c r="D57" s="858">
        <f>D20</f>
        <v>162764447</v>
      </c>
      <c r="E57" s="817" t="s">
        <v>298</v>
      </c>
      <c r="F57" s="818">
        <f>F20</f>
        <v>0</v>
      </c>
      <c r="G57" s="818">
        <f>G20</f>
        <v>53389205</v>
      </c>
      <c r="H57" s="880">
        <f>H20</f>
        <v>53389205</v>
      </c>
      <c r="I57" s="40">
        <f t="shared" si="3"/>
        <v>53389205</v>
      </c>
    </row>
    <row r="58" spans="1:9" ht="28.5" x14ac:dyDescent="0.2">
      <c r="A58" s="817" t="s">
        <v>280</v>
      </c>
      <c r="B58" s="814">
        <f>B42</f>
        <v>22721142</v>
      </c>
      <c r="C58" s="818">
        <f>C42</f>
        <v>2933609975</v>
      </c>
      <c r="D58" s="858">
        <f>D42</f>
        <v>2956331117</v>
      </c>
      <c r="E58" s="817" t="s">
        <v>299</v>
      </c>
      <c r="F58" s="818">
        <f>F42</f>
        <v>0</v>
      </c>
      <c r="G58" s="818">
        <f>G42</f>
        <v>874242424</v>
      </c>
      <c r="H58" s="880">
        <f>H42</f>
        <v>874242424</v>
      </c>
      <c r="I58" s="40">
        <f t="shared" si="3"/>
        <v>874242424</v>
      </c>
    </row>
    <row r="59" spans="1:9" ht="15" x14ac:dyDescent="0.25">
      <c r="A59" s="823" t="s">
        <v>300</v>
      </c>
      <c r="B59" s="832">
        <f>SUM(B60:B61)</f>
        <v>0</v>
      </c>
      <c r="C59" s="824">
        <f>SUM(C60:C61)</f>
        <v>2302112000</v>
      </c>
      <c r="D59" s="827">
        <f>SUM(D60:D61)</f>
        <v>2302112000</v>
      </c>
      <c r="E59" s="817"/>
      <c r="F59" s="881"/>
      <c r="G59" s="881"/>
      <c r="H59" s="882"/>
      <c r="I59" s="40">
        <f t="shared" si="3"/>
        <v>0</v>
      </c>
    </row>
    <row r="60" spans="1:9" ht="28.5" x14ac:dyDescent="0.2">
      <c r="A60" s="817" t="s">
        <v>258</v>
      </c>
      <c r="B60" s="814">
        <f>B22</f>
        <v>0</v>
      </c>
      <c r="C60" s="818">
        <f>C22</f>
        <v>289413683</v>
      </c>
      <c r="D60" s="858">
        <f>D22</f>
        <v>289413683</v>
      </c>
      <c r="E60" s="817"/>
      <c r="F60" s="818"/>
      <c r="G60" s="818"/>
      <c r="H60" s="880"/>
      <c r="I60" s="40">
        <f t="shared" si="3"/>
        <v>0</v>
      </c>
    </row>
    <row r="61" spans="1:9" ht="30" thickBot="1" x14ac:dyDescent="0.3">
      <c r="A61" s="835" t="s">
        <v>283</v>
      </c>
      <c r="B61" s="867">
        <f>B44</f>
        <v>0</v>
      </c>
      <c r="C61" s="843">
        <f>C44</f>
        <v>2012698317</v>
      </c>
      <c r="D61" s="883">
        <f>D44</f>
        <v>2012698317</v>
      </c>
      <c r="E61" s="884"/>
      <c r="F61" s="866"/>
      <c r="G61" s="866"/>
      <c r="H61" s="885"/>
      <c r="I61" s="40"/>
    </row>
    <row r="62" spans="1:9" ht="15.75" thickBot="1" x14ac:dyDescent="0.3">
      <c r="A62" s="802" t="s">
        <v>42</v>
      </c>
      <c r="B62" s="848">
        <f>B54+B56+B59</f>
        <v>636897124.07478428</v>
      </c>
      <c r="C62" s="846">
        <f>C54+C56+C59</f>
        <v>15752944917.925217</v>
      </c>
      <c r="D62" s="872">
        <f>D54+D56+D59</f>
        <v>16389842042</v>
      </c>
      <c r="E62" s="802" t="s">
        <v>301</v>
      </c>
      <c r="F62" s="846">
        <f>F54+F56</f>
        <v>926980063</v>
      </c>
      <c r="G62" s="846">
        <f>G54+G56</f>
        <v>15462861979</v>
      </c>
      <c r="H62" s="847">
        <f>H54+H56</f>
        <v>16389842042</v>
      </c>
      <c r="I62" s="40"/>
    </row>
    <row r="63" spans="1:9" x14ac:dyDescent="0.2">
      <c r="A63" s="387" t="s">
        <v>775</v>
      </c>
      <c r="B63" s="801">
        <f>B62-F62</f>
        <v>-290082938.92521572</v>
      </c>
      <c r="C63" s="801">
        <f>C62-G62</f>
        <v>290082938.92521667</v>
      </c>
      <c r="D63" s="801">
        <f>D62-H62</f>
        <v>0</v>
      </c>
      <c r="H63" s="801">
        <f>F62+G62</f>
        <v>16389842042</v>
      </c>
      <c r="I63" s="40"/>
    </row>
    <row r="64" spans="1:9" x14ac:dyDescent="0.2">
      <c r="D64" s="801">
        <f>SUM(B62:C62)</f>
        <v>16389842042</v>
      </c>
      <c r="H64" s="801">
        <f>'8. sz. tábla  (3)'!I61</f>
        <v>16389842042</v>
      </c>
    </row>
    <row r="65" spans="4:8" x14ac:dyDescent="0.2">
      <c r="H65" s="801">
        <f>H64-H63</f>
        <v>0</v>
      </c>
    </row>
    <row r="66" spans="4:8" x14ac:dyDescent="0.2">
      <c r="D66" s="801">
        <f>'8. sz. tábla  (3)'!D61</f>
        <v>16389842042</v>
      </c>
    </row>
    <row r="67" spans="4:8" x14ac:dyDescent="0.2">
      <c r="D67" s="801">
        <f>D66-D64</f>
        <v>0</v>
      </c>
    </row>
  </sheetData>
  <sheetProtection selectLockedCells="1" selectUnlockedCells="1"/>
  <mergeCells count="6">
    <mergeCell ref="A49:H49"/>
    <mergeCell ref="B1:H1"/>
    <mergeCell ref="B2:H2"/>
    <mergeCell ref="A3:H3"/>
    <mergeCell ref="A5:H5"/>
    <mergeCell ref="A28:H28"/>
  </mergeCells>
  <pageMargins left="0.74791666666666667" right="0.74791666666666667" top="0.98402777777777772" bottom="0.98402777777777772" header="0.51180555555555551" footer="0.51180555555555551"/>
  <pageSetup paperSize="9" scale="58" firstPageNumber="0" orientation="landscape" r:id="rId1"/>
  <headerFooter alignWithMargins="0">
    <oddHeader>&amp;C8/a. melléklet 
 az önkormányzat 2020. évi költségvetéséről szóló 6/2019. (III.06.) önkormányzati rendelethez
a 42/2020. (XII.21.) önkormányzati rendelet módosítással egységes szerkezetbe foglalva&amp;R
&amp;P. oldal
ezer forint</oddHeader>
  </headerFooter>
  <rowBreaks count="2" manualBreakCount="2">
    <brk id="27" max="16383" man="1"/>
    <brk id="63"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O100"/>
  <sheetViews>
    <sheetView view="pageLayout" topLeftCell="E1" zoomScaleNormal="118" zoomScaleSheetLayoutView="89" workbookViewId="0">
      <selection activeCell="J61" sqref="J61"/>
    </sheetView>
  </sheetViews>
  <sheetFormatPr defaultColWidth="9.140625" defaultRowHeight="14.25" x14ac:dyDescent="0.2"/>
  <cols>
    <col min="1" max="1" width="45.7109375" style="896" customWidth="1"/>
    <col min="2" max="2" width="13.140625" style="886" customWidth="1"/>
    <col min="3" max="3" width="14.5703125" style="886" customWidth="1"/>
    <col min="4" max="4" width="16.28515625" style="886" customWidth="1"/>
    <col min="5" max="5" width="14.5703125" style="886" customWidth="1"/>
    <col min="6" max="6" width="45.85546875" style="886" customWidth="1"/>
    <col min="7" max="7" width="12.85546875" style="889" customWidth="1"/>
    <col min="8" max="8" width="14.28515625" style="889" customWidth="1"/>
    <col min="9" max="9" width="15.5703125" style="889" customWidth="1"/>
    <col min="10" max="10" width="15.7109375" style="889" customWidth="1"/>
    <col min="11" max="11" width="14.7109375" style="886" customWidth="1"/>
    <col min="12" max="12" width="14.28515625" style="886" customWidth="1"/>
    <col min="13" max="13" width="12.7109375" style="886" customWidth="1"/>
    <col min="14" max="14" width="9.140625" style="886"/>
    <col min="15" max="15" width="10" style="886" bestFit="1" customWidth="1"/>
    <col min="16" max="16384" width="9.140625" style="886"/>
  </cols>
  <sheetData>
    <row r="1" spans="1:12" ht="14.25" customHeight="1" x14ac:dyDescent="0.2">
      <c r="A1" s="2001" t="s">
        <v>978</v>
      </c>
      <c r="B1" s="2001"/>
      <c r="C1" s="2001"/>
      <c r="D1" s="2001"/>
      <c r="E1" s="2001"/>
      <c r="F1" s="2001"/>
      <c r="G1" s="2001"/>
      <c r="H1" s="2001"/>
      <c r="I1" s="2001"/>
      <c r="J1" s="2001"/>
    </row>
    <row r="2" spans="1:12" s="887" customFormat="1" ht="14.25" customHeight="1" x14ac:dyDescent="0.2">
      <c r="A2" s="2001"/>
      <c r="B2" s="2001"/>
      <c r="C2" s="2001"/>
      <c r="D2" s="2001"/>
      <c r="E2" s="2001"/>
      <c r="F2" s="2001"/>
      <c r="G2" s="2001"/>
      <c r="H2" s="2001"/>
      <c r="I2" s="2001"/>
      <c r="J2" s="2001"/>
    </row>
    <row r="3" spans="1:12" s="887" customFormat="1" ht="14.25" customHeight="1" x14ac:dyDescent="0.2">
      <c r="A3" s="2001"/>
      <c r="B3" s="2001"/>
      <c r="C3" s="2001"/>
      <c r="D3" s="2001"/>
      <c r="E3" s="2001"/>
      <c r="F3" s="2001"/>
      <c r="G3" s="2001"/>
      <c r="H3" s="2001"/>
      <c r="I3" s="2001"/>
      <c r="J3" s="2001"/>
    </row>
    <row r="4" spans="1:12" s="887" customFormat="1" ht="14.25" customHeight="1" x14ac:dyDescent="0.25">
      <c r="A4" s="888"/>
      <c r="B4" s="888"/>
      <c r="C4" s="888"/>
      <c r="D4" s="888"/>
      <c r="E4" s="888"/>
      <c r="F4" s="888"/>
      <c r="G4" s="888"/>
      <c r="H4" s="888"/>
      <c r="I4" s="888"/>
      <c r="J4" s="888"/>
    </row>
    <row r="5" spans="1:12" ht="15.75" customHeight="1" x14ac:dyDescent="0.25">
      <c r="A5" s="2002" t="s">
        <v>975</v>
      </c>
      <c r="B5" s="2002"/>
      <c r="C5" s="2002"/>
      <c r="D5" s="2002"/>
      <c r="E5" s="2002"/>
      <c r="F5" s="2002"/>
      <c r="G5" s="2002"/>
    </row>
    <row r="7" spans="1:12" s="896" customFormat="1" ht="25.5" x14ac:dyDescent="0.2">
      <c r="A7" s="890" t="s">
        <v>241</v>
      </c>
      <c r="B7" s="891" t="s">
        <v>389</v>
      </c>
      <c r="C7" s="892" t="s">
        <v>776</v>
      </c>
      <c r="D7" s="893" t="s">
        <v>387</v>
      </c>
      <c r="E7" s="894" t="s">
        <v>771</v>
      </c>
      <c r="F7" s="895" t="s">
        <v>242</v>
      </c>
      <c r="G7" s="891" t="s">
        <v>389</v>
      </c>
      <c r="H7" s="892" t="s">
        <v>776</v>
      </c>
      <c r="I7" s="893" t="s">
        <v>387</v>
      </c>
      <c r="J7" s="894" t="s">
        <v>771</v>
      </c>
    </row>
    <row r="8" spans="1:12" s="896" customFormat="1" ht="15" x14ac:dyDescent="0.25">
      <c r="A8" s="897" t="s">
        <v>777</v>
      </c>
      <c r="B8" s="898"/>
      <c r="C8" s="898"/>
      <c r="D8" s="899"/>
      <c r="E8" s="900"/>
      <c r="F8" s="901" t="s">
        <v>386</v>
      </c>
      <c r="G8" s="902"/>
      <c r="H8" s="902"/>
      <c r="I8" s="903"/>
      <c r="J8" s="904"/>
    </row>
    <row r="9" spans="1:12" s="914" customFormat="1" ht="28.5" x14ac:dyDescent="0.2">
      <c r="A9" s="905" t="s">
        <v>778</v>
      </c>
      <c r="B9" s="906">
        <f>'3.sz. tábla  (2)'!D12+'2.a tábla ÚJ '!P12-'9. sz. tábla (2)'!B39</f>
        <v>183979267.07478428</v>
      </c>
      <c r="C9" s="907">
        <f>'2.sz.tábla   (2)'!H7+'3.sz. tábla  (2)'!D13-'9. sz. tábla (2)'!C39-'9. sz. tábla (2)'!C72</f>
        <v>193508348.97060001</v>
      </c>
      <c r="D9" s="908">
        <f>'3.sz. tábla  (2)'!D15-'2.sz.tábla   (2)'!D23+'2.sz.tábla   (2)'!D20-'9. sz. tábla (2)'!D39</f>
        <v>936543168.92521572</v>
      </c>
      <c r="E9" s="909">
        <f>SUM(B9:D9)</f>
        <v>1314030784.9706001</v>
      </c>
      <c r="F9" s="910" t="s">
        <v>131</v>
      </c>
      <c r="G9" s="906">
        <f>'4.sz.tábla '!D9-'9. sz. tábla (2)'!G39</f>
        <v>196346300</v>
      </c>
      <c r="H9" s="906">
        <f>'5.tábla (2)'!D7-'9. sz. tábla (2)'!H39-'9. sz. tábla (2)'!H72</f>
        <v>250993304</v>
      </c>
      <c r="I9" s="911">
        <f>'5.tábla (2)'!D46-'9. sz. tábla (2)'!I39</f>
        <v>65531834</v>
      </c>
      <c r="J9" s="912">
        <f>SUM(G9:I9)</f>
        <v>512871438</v>
      </c>
      <c r="K9" s="913">
        <f>I9+I39</f>
        <v>125848387</v>
      </c>
      <c r="L9" s="913"/>
    </row>
    <row r="10" spans="1:12" ht="17.25" customHeight="1" x14ac:dyDescent="0.2">
      <c r="A10" s="915" t="s">
        <v>244</v>
      </c>
      <c r="B10" s="916"/>
      <c r="C10" s="808">
        <f>'2.sz.tábla   (2)'!H30</f>
        <v>0</v>
      </c>
      <c r="D10" s="808">
        <f>'2.sz.tábla   (2)'!D30</f>
        <v>1627117610</v>
      </c>
      <c r="E10" s="909">
        <f>SUM(B10:D10)</f>
        <v>1627117610</v>
      </c>
      <c r="F10" s="917" t="s">
        <v>123</v>
      </c>
      <c r="G10" s="918">
        <f>'4.sz.tábla '!H9-'9. sz. tábla (2)'!G40</f>
        <v>32499613</v>
      </c>
      <c r="H10" s="918">
        <f>'5.tábla (2)'!D16-'9. sz. tábla (2)'!H40-'9. sz. tábla (2)'!H73</f>
        <v>49128397</v>
      </c>
      <c r="I10" s="919">
        <f>'5.tábla (2)'!D61-'9. sz. tábla (2)'!I40</f>
        <v>7551349</v>
      </c>
      <c r="J10" s="920">
        <f t="shared" ref="J10:J18" si="0">SUM(G10:I10)</f>
        <v>89179359</v>
      </c>
      <c r="K10" s="913">
        <f>I10+I40</f>
        <v>21158997</v>
      </c>
      <c r="L10" s="913"/>
    </row>
    <row r="11" spans="1:12" x14ac:dyDescent="0.2">
      <c r="A11" s="921" t="s">
        <v>246</v>
      </c>
      <c r="B11" s="918">
        <f>'2.a tábla ÚJ '!P21-'9. sz. tábla (2)'!B41</f>
        <v>26074593</v>
      </c>
      <c r="C11" s="918">
        <f>'2.sz.tábla   (2)'!H43-'9. sz. tábla (2)'!C41-'9. sz. tábla (2)'!C74</f>
        <v>27209750</v>
      </c>
      <c r="D11" s="919">
        <f>'2.sz.tábla   (2)'!D43-'9. sz. tábla (2)'!D26-'9. sz. tábla (2)'!D41-'9. sz. tábla (2)'!D56</f>
        <v>198369562</v>
      </c>
      <c r="E11" s="909">
        <f>SUM(B11:D11)</f>
        <v>251653905</v>
      </c>
      <c r="F11" s="917" t="s">
        <v>124</v>
      </c>
      <c r="G11" s="918">
        <f>'4.sz.tábla '!L9-'9. sz. tábla (2)'!G41</f>
        <v>76716701</v>
      </c>
      <c r="H11" s="918">
        <f>'5.tábla (2)'!D25-'9. sz. tábla (2)'!H41-'9. sz. tábla (2)'!H74</f>
        <v>69282134</v>
      </c>
      <c r="I11" s="919">
        <f>'5.tábla (2)'!D75-'9. sz. tábla (2)'!I41</f>
        <v>689815094</v>
      </c>
      <c r="J11" s="920">
        <f t="shared" si="0"/>
        <v>835813929</v>
      </c>
      <c r="K11" s="913">
        <f t="shared" ref="K11:K17" si="1">I11+I41</f>
        <v>1111068870</v>
      </c>
      <c r="L11" s="913"/>
    </row>
    <row r="12" spans="1:12" ht="28.5" x14ac:dyDescent="0.2">
      <c r="A12" s="922" t="s">
        <v>250</v>
      </c>
      <c r="B12" s="918">
        <f>'2.a tábla ÚJ '!O40-'9. sz. tábla (2)'!B42</f>
        <v>0</v>
      </c>
      <c r="C12" s="923">
        <f>'2.sz.tábla   (2)'!G66</f>
        <v>0</v>
      </c>
      <c r="D12" s="908">
        <f>'2.sz.tábla   (2)'!D66-'9. sz. tábla (2)'!D42</f>
        <v>220000</v>
      </c>
      <c r="E12" s="909">
        <f>SUM(B12:D12)</f>
        <v>220000</v>
      </c>
      <c r="F12" s="924" t="s">
        <v>150</v>
      </c>
      <c r="G12" s="918"/>
      <c r="H12" s="918"/>
      <c r="I12" s="919">
        <f>'5.tábla (2)'!D124-'9. sz. tábla (2)'!I42</f>
        <v>30600000</v>
      </c>
      <c r="J12" s="920">
        <f t="shared" si="0"/>
        <v>30600000</v>
      </c>
      <c r="K12" s="913">
        <f t="shared" si="1"/>
        <v>30600000</v>
      </c>
      <c r="L12" s="913"/>
    </row>
    <row r="13" spans="1:12" x14ac:dyDescent="0.2">
      <c r="A13" s="915"/>
      <c r="B13" s="918"/>
      <c r="C13" s="918"/>
      <c r="D13" s="919"/>
      <c r="E13" s="920"/>
      <c r="F13" s="917" t="s">
        <v>129</v>
      </c>
      <c r="G13" s="918"/>
      <c r="H13" s="918"/>
      <c r="I13" s="919"/>
      <c r="J13" s="920">
        <f t="shared" si="0"/>
        <v>0</v>
      </c>
      <c r="K13" s="913">
        <f t="shared" si="1"/>
        <v>0</v>
      </c>
      <c r="L13" s="913"/>
    </row>
    <row r="14" spans="1:12" x14ac:dyDescent="0.2">
      <c r="A14" s="921"/>
      <c r="B14" s="918"/>
      <c r="C14" s="918"/>
      <c r="D14" s="919"/>
      <c r="E14" s="920"/>
      <c r="F14" s="813" t="s">
        <v>324</v>
      </c>
      <c r="G14" s="918"/>
      <c r="H14" s="918"/>
      <c r="I14" s="919">
        <f>'5.tábla (2)'!D135-'9. sz. tábla (2)'!I44</f>
        <v>7183231</v>
      </c>
      <c r="J14" s="920">
        <f t="shared" si="0"/>
        <v>7183231</v>
      </c>
      <c r="K14" s="913">
        <f t="shared" si="1"/>
        <v>7183231</v>
      </c>
      <c r="L14" s="913"/>
    </row>
    <row r="15" spans="1:12" ht="28.5" x14ac:dyDescent="0.2">
      <c r="A15" s="921"/>
      <c r="B15" s="918"/>
      <c r="C15" s="918"/>
      <c r="D15" s="919"/>
      <c r="E15" s="920"/>
      <c r="F15" s="813" t="s">
        <v>325</v>
      </c>
      <c r="G15" s="918">
        <f>'4.sz.tábla '!U9-G45</f>
        <v>89479</v>
      </c>
      <c r="H15" s="918">
        <f>'5.tábla (2)'!D35-H78</f>
        <v>2261136</v>
      </c>
      <c r="I15" s="919">
        <f>'5.tábla (2)'!D139-'9. sz. tábla (2)'!I45</f>
        <v>488167299</v>
      </c>
      <c r="J15" s="920">
        <f t="shared" si="0"/>
        <v>490517914</v>
      </c>
      <c r="K15" s="913">
        <f t="shared" si="1"/>
        <v>509783666</v>
      </c>
      <c r="L15" s="913"/>
    </row>
    <row r="16" spans="1:12" ht="28.5" x14ac:dyDescent="0.2">
      <c r="A16" s="925"/>
      <c r="B16" s="918"/>
      <c r="C16" s="923"/>
      <c r="D16" s="926"/>
      <c r="E16" s="927"/>
      <c r="F16" s="820" t="s">
        <v>326</v>
      </c>
      <c r="G16" s="918"/>
      <c r="H16" s="918"/>
      <c r="I16" s="919">
        <f>'5.tábla (2)'!D144-'9. sz. tábla (2)'!I46</f>
        <v>311104523</v>
      </c>
      <c r="J16" s="920">
        <f t="shared" si="0"/>
        <v>311104523</v>
      </c>
      <c r="K16" s="913">
        <f>I16+I46</f>
        <v>712189503</v>
      </c>
      <c r="L16" s="913"/>
    </row>
    <row r="17" spans="1:12" ht="28.5" x14ac:dyDescent="0.2">
      <c r="A17" s="928"/>
      <c r="B17" s="918"/>
      <c r="C17" s="918"/>
      <c r="D17" s="919"/>
      <c r="E17" s="920"/>
      <c r="F17" s="813" t="s">
        <v>327</v>
      </c>
      <c r="G17" s="918"/>
      <c r="H17" s="918"/>
      <c r="I17" s="919">
        <f>'5.tábla (2)'!D141-'9. sz. tábla (2)'!I47</f>
        <v>0</v>
      </c>
      <c r="J17" s="920">
        <f t="shared" si="0"/>
        <v>0</v>
      </c>
      <c r="K17" s="913">
        <f t="shared" si="1"/>
        <v>0</v>
      </c>
      <c r="L17" s="913"/>
    </row>
    <row r="18" spans="1:12" x14ac:dyDescent="0.2">
      <c r="A18" s="915"/>
      <c r="B18" s="918"/>
      <c r="C18" s="918"/>
      <c r="D18" s="919"/>
      <c r="E18" s="920"/>
      <c r="F18" s="376" t="s">
        <v>318</v>
      </c>
      <c r="G18" s="929"/>
      <c r="H18" s="929"/>
      <c r="I18" s="822">
        <f>'8a. sz. tábla  (4)'!G17</f>
        <v>131124997</v>
      </c>
      <c r="J18" s="930">
        <f t="shared" si="0"/>
        <v>131124997</v>
      </c>
      <c r="K18" s="913">
        <f>I18+I48</f>
        <v>131124997</v>
      </c>
      <c r="L18" s="913"/>
    </row>
    <row r="19" spans="1:12" s="936" customFormat="1" ht="30" x14ac:dyDescent="0.25">
      <c r="A19" s="931" t="s">
        <v>779</v>
      </c>
      <c r="B19" s="932">
        <f>SUM(B9:B18)</f>
        <v>210053860.07478428</v>
      </c>
      <c r="C19" s="932">
        <f>SUM(C9:C18)</f>
        <v>220718098.97060001</v>
      </c>
      <c r="D19" s="933">
        <f>SUM(D9:D18)</f>
        <v>2762250340.9252157</v>
      </c>
      <c r="E19" s="933">
        <f>SUM(E9:E18)</f>
        <v>3193022299.9706001</v>
      </c>
      <c r="F19" s="934" t="s">
        <v>780</v>
      </c>
      <c r="G19" s="935">
        <f>SUM(G9:G18)</f>
        <v>305652093</v>
      </c>
      <c r="H19" s="935">
        <f>SUM(H9:H18)</f>
        <v>371664971</v>
      </c>
      <c r="I19" s="935">
        <f>SUM(I9:I18)</f>
        <v>1731078327</v>
      </c>
      <c r="J19" s="935">
        <f>SUM(J9:J18)</f>
        <v>2408395391</v>
      </c>
      <c r="K19" s="913">
        <f>I19+I49</f>
        <v>2648957651</v>
      </c>
      <c r="L19" s="913"/>
    </row>
    <row r="20" spans="1:12" x14ac:dyDescent="0.2">
      <c r="A20" s="903" t="s">
        <v>781</v>
      </c>
      <c r="B20" s="918">
        <f>'2.sz.tábla   (2)'!L77-'9. sz. tábla (2)'!B50</f>
        <v>14588409</v>
      </c>
      <c r="C20" s="918">
        <f>'2.sz.tábla   (2)'!H77-'9. sz. tábla (2)'!C50-'9. sz. tábla (2)'!C83</f>
        <v>21984803.022</v>
      </c>
      <c r="D20" s="919">
        <f>'2.sz.tábla   (2)'!D77+'2.sz.tábla   (2)'!D90+'8a. sz. tábla  (4)'!C23-'9. sz. tábla (2)'!D50</f>
        <v>306424513</v>
      </c>
      <c r="E20" s="937">
        <f>SUM(B20:D20)</f>
        <v>342997725.02200001</v>
      </c>
      <c r="F20" s="904" t="s">
        <v>782</v>
      </c>
      <c r="G20" s="920"/>
      <c r="H20" s="920"/>
      <c r="I20" s="920">
        <f>'7. sz. tábla 1'!D236</f>
        <v>53389205</v>
      </c>
      <c r="J20" s="920">
        <f>SUM(G20:I20)</f>
        <v>53389205</v>
      </c>
      <c r="K20" s="913">
        <f>I20+I50</f>
        <v>53389205</v>
      </c>
      <c r="L20" s="913"/>
    </row>
    <row r="21" spans="1:12" ht="45" x14ac:dyDescent="0.25">
      <c r="A21" s="931" t="s">
        <v>783</v>
      </c>
      <c r="B21" s="932">
        <f>B19+B20</f>
        <v>224642269.07478428</v>
      </c>
      <c r="C21" s="932">
        <f>C19+C20</f>
        <v>242702901.99260002</v>
      </c>
      <c r="D21" s="933">
        <f>D19+D20</f>
        <v>3068674853.9252157</v>
      </c>
      <c r="E21" s="938">
        <f>E19+E20</f>
        <v>3536020024.9926</v>
      </c>
      <c r="F21" s="934" t="s">
        <v>784</v>
      </c>
      <c r="G21" s="935">
        <f>G19+G20</f>
        <v>305652093</v>
      </c>
      <c r="H21" s="935">
        <f>H19+H20</f>
        <v>371664971</v>
      </c>
      <c r="I21" s="935">
        <f>I19+I20</f>
        <v>1784467532</v>
      </c>
      <c r="J21" s="935">
        <f>J19+J20</f>
        <v>2461784596</v>
      </c>
      <c r="K21" s="945">
        <f>SUM(K19:K20)</f>
        <v>2702346856</v>
      </c>
    </row>
    <row r="22" spans="1:12" ht="15" x14ac:dyDescent="0.25">
      <c r="A22" s="939" t="s">
        <v>785</v>
      </c>
      <c r="B22" s="940"/>
      <c r="C22" s="940"/>
      <c r="D22" s="940"/>
      <c r="E22" s="941"/>
      <c r="F22" s="942" t="s">
        <v>390</v>
      </c>
      <c r="G22" s="943"/>
      <c r="H22" s="943"/>
      <c r="I22" s="943"/>
      <c r="J22" s="943"/>
    </row>
    <row r="23" spans="1:12" ht="28.5" x14ac:dyDescent="0.2">
      <c r="A23" s="922" t="s">
        <v>265</v>
      </c>
      <c r="B23" s="918">
        <f>'2.sz.tábla   (2)'!L27-'9. sz. tábla (2)'!B53</f>
        <v>3468000</v>
      </c>
      <c r="C23" s="918">
        <f>'2.sz.tábla   (2)'!H27-'9. sz. tábla (2)'!C53</f>
        <v>0</v>
      </c>
      <c r="D23" s="919">
        <f>'2.sz.tábla   (2)'!D22-'9. sz. tábla (2)'!D53</f>
        <v>968319208</v>
      </c>
      <c r="E23" s="937">
        <f>SUM(B23:D23)</f>
        <v>971787208</v>
      </c>
      <c r="F23" s="944" t="s">
        <v>266</v>
      </c>
      <c r="G23" s="920"/>
      <c r="H23" s="920"/>
      <c r="I23" s="920">
        <f>'7. sz. tábla 1'!D170-'9. sz. tábla (2)'!I53</f>
        <v>3661761240</v>
      </c>
      <c r="J23" s="920">
        <f t="shared" ref="J23:J30" si="2">SUM(G23:I23)</f>
        <v>3661761240</v>
      </c>
      <c r="K23" s="945">
        <f t="shared" ref="K23:K28" si="3">I23+I53</f>
        <v>9762627560</v>
      </c>
      <c r="L23" s="945"/>
    </row>
    <row r="24" spans="1:12" x14ac:dyDescent="0.2">
      <c r="A24" s="946" t="s">
        <v>786</v>
      </c>
      <c r="B24" s="918">
        <f>'2.sz.tábla   (2)'!L58-'9. sz. tábla (2)'!B54</f>
        <v>0</v>
      </c>
      <c r="C24" s="918">
        <f>'2.sz.tábla   (2)'!H58-'9. sz. tábla (2)'!C87</f>
        <v>1070000</v>
      </c>
      <c r="D24" s="919">
        <f>'2.sz.tábla   (2)'!D58-'9. sz. tábla (2)'!D54</f>
        <v>32917323</v>
      </c>
      <c r="E24" s="937">
        <f>SUM(B24:D24)</f>
        <v>33987323</v>
      </c>
      <c r="F24" s="944" t="s">
        <v>268</v>
      </c>
      <c r="G24" s="920">
        <f>'4.sz.tábla '!Y9-'9. sz. tábla (2)'!G54</f>
        <v>19786911</v>
      </c>
      <c r="H24" s="920">
        <f>'5.tábla (2)'!D37-'9. sz. tábla (2)'!H54-'9. sz. tábla (2)'!H87</f>
        <v>17095675</v>
      </c>
      <c r="I24" s="920"/>
      <c r="J24" s="920">
        <f t="shared" si="2"/>
        <v>36882586</v>
      </c>
      <c r="K24" s="945">
        <f t="shared" si="3"/>
        <v>0</v>
      </c>
      <c r="L24" s="945"/>
    </row>
    <row r="25" spans="1:12" ht="28.5" x14ac:dyDescent="0.2">
      <c r="A25" s="946" t="s">
        <v>787</v>
      </c>
      <c r="B25" s="918">
        <f>'2.sz.tábla   (2)'!H70-'9. sz. tábla (2)'!B88</f>
        <v>0</v>
      </c>
      <c r="C25" s="918"/>
      <c r="D25" s="919">
        <f>'2.sz.tábla   (2)'!D70-'9. sz. tábla (2)'!D55</f>
        <v>12000000</v>
      </c>
      <c r="E25" s="937">
        <f>SUM(B25:D25)</f>
        <v>12000000</v>
      </c>
      <c r="F25" s="944" t="s">
        <v>270</v>
      </c>
      <c r="G25" s="920"/>
      <c r="H25" s="920"/>
      <c r="I25" s="920">
        <f>'6.sz.tábla  (3)'!D120-'9. sz. tábla (2)'!I55</f>
        <v>100841720</v>
      </c>
      <c r="J25" s="920">
        <f t="shared" si="2"/>
        <v>100841720</v>
      </c>
      <c r="K25" s="945">
        <f t="shared" si="3"/>
        <v>112001247</v>
      </c>
      <c r="L25" s="945"/>
    </row>
    <row r="26" spans="1:12" ht="28.5" x14ac:dyDescent="0.2">
      <c r="A26" s="136" t="s">
        <v>1</v>
      </c>
      <c r="B26" s="918"/>
      <c r="C26" s="918"/>
      <c r="D26" s="919">
        <f>'8a. sz. tábla  (4)'!C34-'9. sz. tábla (2)'!D56</f>
        <v>63975117</v>
      </c>
      <c r="E26" s="937">
        <f>SUM(B26:D26)</f>
        <v>63975117</v>
      </c>
      <c r="F26" s="944" t="s">
        <v>788</v>
      </c>
      <c r="G26" s="920"/>
      <c r="H26" s="920"/>
      <c r="I26" s="920"/>
      <c r="J26" s="920">
        <f t="shared" si="2"/>
        <v>0</v>
      </c>
      <c r="K26" s="945">
        <f t="shared" si="3"/>
        <v>0</v>
      </c>
      <c r="L26" s="945"/>
    </row>
    <row r="27" spans="1:12" ht="28.5" x14ac:dyDescent="0.2">
      <c r="A27" s="915"/>
      <c r="B27" s="918"/>
      <c r="C27" s="918"/>
      <c r="D27" s="919"/>
      <c r="E27" s="937"/>
      <c r="F27" s="944" t="s">
        <v>789</v>
      </c>
      <c r="G27" s="920"/>
      <c r="H27" s="920"/>
      <c r="I27" s="920">
        <f>'7. sz. tábla 1'!D191-'9. sz. tábla (2)'!I57</f>
        <v>7606667</v>
      </c>
      <c r="J27" s="920">
        <f t="shared" si="2"/>
        <v>7606667</v>
      </c>
      <c r="K27" s="945">
        <f>I27+I57</f>
        <v>191927486</v>
      </c>
      <c r="L27" s="945"/>
    </row>
    <row r="28" spans="1:12" ht="28.5" x14ac:dyDescent="0.2">
      <c r="A28" s="915"/>
      <c r="B28" s="918"/>
      <c r="C28" s="918"/>
      <c r="D28" s="919"/>
      <c r="E28" s="937"/>
      <c r="F28" s="947" t="s">
        <v>790</v>
      </c>
      <c r="G28" s="920"/>
      <c r="H28" s="920"/>
      <c r="I28" s="920">
        <f>'7. sz. tábla 1'!D179-'9. sz. tábla (2)'!I58</f>
        <v>171191171</v>
      </c>
      <c r="J28" s="920">
        <f t="shared" si="2"/>
        <v>171191171</v>
      </c>
      <c r="K28" s="945">
        <f t="shared" si="3"/>
        <v>1598001859</v>
      </c>
      <c r="L28" s="945"/>
    </row>
    <row r="29" spans="1:12" ht="28.5" x14ac:dyDescent="0.2">
      <c r="A29" s="948"/>
      <c r="B29" s="918"/>
      <c r="C29" s="918"/>
      <c r="D29" s="919"/>
      <c r="E29" s="937"/>
      <c r="F29" s="944" t="s">
        <v>772</v>
      </c>
      <c r="G29" s="920"/>
      <c r="H29" s="920"/>
      <c r="I29" s="920">
        <f>'7. sz. tábla 1'!D173-'9. sz. tábla (2)'!I60</f>
        <v>0</v>
      </c>
      <c r="J29" s="920">
        <f t="shared" si="2"/>
        <v>0</v>
      </c>
      <c r="K29" s="945">
        <f>I29+I60</f>
        <v>17731099</v>
      </c>
      <c r="L29" s="945"/>
    </row>
    <row r="30" spans="1:12" x14ac:dyDescent="0.2">
      <c r="A30" s="948"/>
      <c r="B30" s="918"/>
      <c r="C30" s="918"/>
      <c r="D30" s="919"/>
      <c r="E30" s="937"/>
      <c r="F30" s="949" t="s">
        <v>19</v>
      </c>
      <c r="G30" s="920"/>
      <c r="H30" s="920"/>
      <c r="I30" s="920">
        <f>'8a. sz. tábla  (4)'!G39</f>
        <v>203983448</v>
      </c>
      <c r="J30" s="920">
        <f t="shared" si="2"/>
        <v>203983448</v>
      </c>
      <c r="K30" s="945">
        <f>I30</f>
        <v>203983448</v>
      </c>
      <c r="L30" s="945"/>
    </row>
    <row r="31" spans="1:12" s="936" customFormat="1" ht="30" x14ac:dyDescent="0.25">
      <c r="A31" s="931" t="s">
        <v>791</v>
      </c>
      <c r="B31" s="932">
        <f>SUM(B23:B29)</f>
        <v>3468000</v>
      </c>
      <c r="C31" s="932">
        <f>SUM(C23:C29)</f>
        <v>1070000</v>
      </c>
      <c r="D31" s="933">
        <f>SUM(D23:D29)</f>
        <v>1077211648</v>
      </c>
      <c r="E31" s="938">
        <f>SUM(E23:E29)</f>
        <v>1081749648</v>
      </c>
      <c r="F31" s="934" t="s">
        <v>792</v>
      </c>
      <c r="G31" s="935">
        <f>SUM(G23:G29)</f>
        <v>19786911</v>
      </c>
      <c r="H31" s="935">
        <f>SUM(H23:H29)</f>
        <v>17095675</v>
      </c>
      <c r="I31" s="935">
        <f>SUM(I23:I30)</f>
        <v>4145384246</v>
      </c>
      <c r="J31" s="935">
        <f>SUM(J23:J30)</f>
        <v>4182266832</v>
      </c>
      <c r="K31" s="950">
        <f>SUM(K23:K30)</f>
        <v>11886272699</v>
      </c>
      <c r="L31" s="950"/>
    </row>
    <row r="32" spans="1:12" ht="15" customHeight="1" x14ac:dyDescent="0.2">
      <c r="A32" s="903" t="s">
        <v>781</v>
      </c>
      <c r="B32" s="918">
        <f>'2.sz.tábla   (2)'!K78-'9. sz. tábla (2)'!B62</f>
        <v>14293251</v>
      </c>
      <c r="C32" s="918">
        <f>'2.sz.tábla   (2)'!G78-'9. sz. tábla (2)'!C62-'9. sz. tábla (2)'!C91</f>
        <v>6851875.3829999994</v>
      </c>
      <c r="D32" s="951">
        <f>'2.sz.tábla   (2)'!D78+'2.sz.tábla   (2)'!D85-'8a. sz. tábla  (4)'!C23+'8a. sz. tábla  (4)'!C46-'9. sz. tábla (2)'!D62</f>
        <v>2590725964</v>
      </c>
      <c r="E32" s="952">
        <f>SUM(B32:D32)</f>
        <v>2611871090.3829999</v>
      </c>
      <c r="F32" s="904" t="s">
        <v>782</v>
      </c>
      <c r="G32" s="920"/>
      <c r="H32" s="920"/>
      <c r="I32" s="920">
        <f>'8a. sz. tábla  (4)'!G42-'9. sz. tábla (2)'!I62</f>
        <v>874242424</v>
      </c>
      <c r="J32" s="920">
        <f>SUM(G32:I32)</f>
        <v>874242424</v>
      </c>
      <c r="K32" s="945">
        <f>I32+I62</f>
        <v>874242424</v>
      </c>
    </row>
    <row r="33" spans="1:15" ht="45" x14ac:dyDescent="0.25">
      <c r="A33" s="939" t="s">
        <v>793</v>
      </c>
      <c r="B33" s="932">
        <f>B31+B32</f>
        <v>17761251</v>
      </c>
      <c r="C33" s="932">
        <f>C31+C32</f>
        <v>7921875.3829999994</v>
      </c>
      <c r="D33" s="933">
        <f>D31+D32</f>
        <v>3667937612</v>
      </c>
      <c r="E33" s="938">
        <f>E31+E32</f>
        <v>3693620738.3829999</v>
      </c>
      <c r="F33" s="934" t="s">
        <v>794</v>
      </c>
      <c r="G33" s="935">
        <f>G31+G32</f>
        <v>19786911</v>
      </c>
      <c r="H33" s="935">
        <f>H31+H32</f>
        <v>17095675</v>
      </c>
      <c r="I33" s="935">
        <f>I31+I32</f>
        <v>5019626670</v>
      </c>
      <c r="J33" s="935">
        <f>J31+J32</f>
        <v>5056509256</v>
      </c>
      <c r="K33" s="945">
        <f>SUM(K31:K32)</f>
        <v>12760515123</v>
      </c>
    </row>
    <row r="34" spans="1:15" x14ac:dyDescent="0.2">
      <c r="B34" s="945">
        <f>B33+B21</f>
        <v>242403520.07478428</v>
      </c>
      <c r="C34" s="945">
        <f>C33+C21</f>
        <v>250624777.37560001</v>
      </c>
      <c r="D34" s="945">
        <f>D33+D21</f>
        <v>6736612465.9252157</v>
      </c>
      <c r="E34" s="945">
        <f>E33+E21</f>
        <v>7229640763.3755999</v>
      </c>
      <c r="G34" s="953">
        <f>G33+G21</f>
        <v>325439004</v>
      </c>
      <c r="H34" s="953">
        <f>H33+H21</f>
        <v>388760646</v>
      </c>
      <c r="I34" s="953">
        <f>I33+I21</f>
        <v>6804094202</v>
      </c>
      <c r="J34" s="953">
        <f>J33+J21</f>
        <v>7518293852</v>
      </c>
    </row>
    <row r="35" spans="1:15" ht="15.75" customHeight="1" x14ac:dyDescent="0.25">
      <c r="A35" s="2002" t="s">
        <v>976</v>
      </c>
      <c r="B35" s="2002"/>
      <c r="C35" s="2002"/>
      <c r="D35" s="2002"/>
      <c r="E35" s="2002"/>
      <c r="F35" s="2002"/>
      <c r="G35" s="2002"/>
      <c r="H35" s="953"/>
    </row>
    <row r="37" spans="1:15" s="896" customFormat="1" ht="25.5" x14ac:dyDescent="0.2">
      <c r="A37" s="954" t="s">
        <v>241</v>
      </c>
      <c r="B37" s="891" t="s">
        <v>389</v>
      </c>
      <c r="C37" s="892" t="s">
        <v>776</v>
      </c>
      <c r="D37" s="893" t="s">
        <v>387</v>
      </c>
      <c r="E37" s="894" t="s">
        <v>771</v>
      </c>
      <c r="F37" s="955" t="s">
        <v>242</v>
      </c>
      <c r="G37" s="891" t="s">
        <v>389</v>
      </c>
      <c r="H37" s="892" t="s">
        <v>776</v>
      </c>
      <c r="I37" s="893" t="s">
        <v>387</v>
      </c>
      <c r="J37" s="894" t="s">
        <v>771</v>
      </c>
      <c r="L37" s="956"/>
    </row>
    <row r="38" spans="1:15" ht="15" x14ac:dyDescent="0.25">
      <c r="A38" s="897" t="s">
        <v>777</v>
      </c>
      <c r="B38" s="1417"/>
      <c r="C38" s="898"/>
      <c r="D38" s="899"/>
      <c r="E38" s="900"/>
      <c r="F38" s="901" t="s">
        <v>386</v>
      </c>
      <c r="G38" s="957"/>
      <c r="H38" s="957"/>
      <c r="I38" s="958"/>
      <c r="J38" s="943"/>
      <c r="L38" s="959"/>
      <c r="M38" s="959"/>
      <c r="N38" s="959"/>
    </row>
    <row r="39" spans="1:15" ht="28.5" x14ac:dyDescent="0.2">
      <c r="A39" s="925" t="s">
        <v>778</v>
      </c>
      <c r="B39" s="1418">
        <f>63300000-2882551+170143+1000000+83990</f>
        <v>61671582</v>
      </c>
      <c r="C39" s="918"/>
      <c r="D39" s="919">
        <v>222157562</v>
      </c>
      <c r="E39" s="920">
        <f>SUM(B39:D39)</f>
        <v>283829144</v>
      </c>
      <c r="F39" s="924" t="s">
        <v>131</v>
      </c>
      <c r="G39" s="1418">
        <f>43302337+3565757-2503878+74906+127609+568000</f>
        <v>45134731</v>
      </c>
      <c r="H39" s="918">
        <v>9534638</v>
      </c>
      <c r="I39" s="919">
        <v>60316553</v>
      </c>
      <c r="J39" s="920">
        <f>SUM(G39:I39)</f>
        <v>114985922</v>
      </c>
      <c r="K39" s="959"/>
      <c r="L39" s="959"/>
      <c r="O39" s="959"/>
    </row>
    <row r="40" spans="1:15" x14ac:dyDescent="0.2">
      <c r="A40" s="915" t="s">
        <v>244</v>
      </c>
      <c r="B40" s="1418"/>
      <c r="C40" s="918"/>
      <c r="D40" s="919"/>
      <c r="E40" s="920">
        <f>SUM(B40:D40)</f>
        <v>0</v>
      </c>
      <c r="F40" s="917" t="s">
        <v>123</v>
      </c>
      <c r="G40" s="1418">
        <f>7748538+638157-378673+39130-127609+88040</f>
        <v>8007583</v>
      </c>
      <c r="H40" s="918">
        <v>2128286</v>
      </c>
      <c r="I40" s="919">
        <v>13607648</v>
      </c>
      <c r="J40" s="920">
        <f t="shared" ref="J40:J47" si="4">SUM(G40:I40)</f>
        <v>23743517</v>
      </c>
      <c r="K40" s="959"/>
      <c r="L40" s="959"/>
      <c r="O40" s="959"/>
    </row>
    <row r="41" spans="1:15" x14ac:dyDescent="0.2">
      <c r="A41" s="921" t="s">
        <v>246</v>
      </c>
      <c r="B41" s="1418">
        <f>23319000</f>
        <v>23319000</v>
      </c>
      <c r="C41" s="918"/>
      <c r="D41" s="919">
        <f>552722660-D56</f>
        <v>399374964</v>
      </c>
      <c r="E41" s="920">
        <f>SUM(B41:D41)</f>
        <v>422693964</v>
      </c>
      <c r="F41" s="917" t="s">
        <v>124</v>
      </c>
      <c r="G41" s="1418">
        <f>54937253+343960</f>
        <v>55281213</v>
      </c>
      <c r="H41" s="918"/>
      <c r="I41" s="919">
        <v>421253776</v>
      </c>
      <c r="J41" s="920">
        <f t="shared" si="4"/>
        <v>476534989</v>
      </c>
      <c r="K41" s="959"/>
      <c r="L41" s="959"/>
      <c r="O41" s="959"/>
    </row>
    <row r="42" spans="1:15" ht="28.5" x14ac:dyDescent="0.2">
      <c r="A42" s="922" t="s">
        <v>250</v>
      </c>
      <c r="B42" s="1418"/>
      <c r="C42" s="918"/>
      <c r="D42" s="919">
        <f>3500754+16000000</f>
        <v>19500754</v>
      </c>
      <c r="E42" s="920">
        <f>SUM(B42:D42)</f>
        <v>19500754</v>
      </c>
      <c r="F42" s="924" t="s">
        <v>150</v>
      </c>
      <c r="G42" s="1418"/>
      <c r="H42" s="918"/>
      <c r="I42" s="919"/>
      <c r="J42" s="920">
        <f t="shared" si="4"/>
        <v>0</v>
      </c>
      <c r="K42" s="959"/>
      <c r="L42" s="959"/>
      <c r="O42" s="959"/>
    </row>
    <row r="43" spans="1:15" x14ac:dyDescent="0.2">
      <c r="A43" s="915"/>
      <c r="B43" s="918"/>
      <c r="C43" s="918"/>
      <c r="D43" s="919"/>
      <c r="E43" s="920">
        <f>SUM(B43:D43)</f>
        <v>0</v>
      </c>
      <c r="F43" s="917" t="s">
        <v>129</v>
      </c>
      <c r="G43" s="918"/>
      <c r="H43" s="918"/>
      <c r="I43" s="919"/>
      <c r="J43" s="920">
        <f t="shared" si="4"/>
        <v>0</v>
      </c>
      <c r="L43" s="959"/>
      <c r="O43" s="959"/>
    </row>
    <row r="44" spans="1:15" x14ac:dyDescent="0.2">
      <c r="A44" s="921"/>
      <c r="B44" s="918"/>
      <c r="C44" s="918"/>
      <c r="D44" s="919"/>
      <c r="E44" s="920"/>
      <c r="F44" s="813" t="s">
        <v>324</v>
      </c>
      <c r="G44" s="918"/>
      <c r="H44" s="918"/>
      <c r="I44" s="919"/>
      <c r="J44" s="920">
        <f t="shared" si="4"/>
        <v>0</v>
      </c>
    </row>
    <row r="45" spans="1:15" ht="28.5" x14ac:dyDescent="0.2">
      <c r="A45" s="921"/>
      <c r="B45" s="918"/>
      <c r="C45" s="918"/>
      <c r="D45" s="919"/>
      <c r="E45" s="920"/>
      <c r="F45" s="813" t="s">
        <v>325</v>
      </c>
      <c r="G45" s="918"/>
      <c r="H45" s="918"/>
      <c r="I45" s="919">
        <v>21616367</v>
      </c>
      <c r="J45" s="920">
        <f t="shared" si="4"/>
        <v>21616367</v>
      </c>
      <c r="L45" s="959"/>
      <c r="M45" s="959"/>
      <c r="N45" s="959"/>
    </row>
    <row r="46" spans="1:15" ht="28.5" x14ac:dyDescent="0.2">
      <c r="A46" s="925"/>
      <c r="B46" s="918"/>
      <c r="C46" s="923"/>
      <c r="D46" s="926"/>
      <c r="E46" s="927"/>
      <c r="F46" s="820" t="s">
        <v>326</v>
      </c>
      <c r="G46" s="918"/>
      <c r="H46" s="918"/>
      <c r="I46" s="919">
        <v>401084980</v>
      </c>
      <c r="J46" s="920">
        <f t="shared" si="4"/>
        <v>401084980</v>
      </c>
      <c r="L46" s="959"/>
    </row>
    <row r="47" spans="1:15" ht="28.5" x14ac:dyDescent="0.2">
      <c r="A47" s="928"/>
      <c r="B47" s="918"/>
      <c r="C47" s="918"/>
      <c r="D47" s="919"/>
      <c r="E47" s="920"/>
      <c r="F47" s="813" t="s">
        <v>327</v>
      </c>
      <c r="G47" s="918"/>
      <c r="H47" s="918"/>
      <c r="I47" s="919"/>
      <c r="J47" s="920">
        <f t="shared" si="4"/>
        <v>0</v>
      </c>
      <c r="L47" s="959"/>
    </row>
    <row r="48" spans="1:15" x14ac:dyDescent="0.2">
      <c r="A48" s="915"/>
      <c r="B48" s="918"/>
      <c r="C48" s="918"/>
      <c r="D48" s="919"/>
      <c r="E48" s="920"/>
      <c r="F48" s="821" t="s">
        <v>318</v>
      </c>
      <c r="G48" s="918"/>
      <c r="H48" s="918"/>
      <c r="I48" s="919"/>
      <c r="J48" s="943"/>
      <c r="M48" s="959"/>
      <c r="N48" s="959"/>
    </row>
    <row r="49" spans="1:13" ht="30" x14ac:dyDescent="0.25">
      <c r="A49" s="931" t="s">
        <v>795</v>
      </c>
      <c r="B49" s="932">
        <f>SUM(B39:B48)</f>
        <v>84990582</v>
      </c>
      <c r="C49" s="932">
        <f>SUM(C39:C48)</f>
        <v>0</v>
      </c>
      <c r="D49" s="933">
        <f>SUM(D39:D48)</f>
        <v>641033280</v>
      </c>
      <c r="E49" s="935">
        <f>SUM(E39:E48)</f>
        <v>726023862</v>
      </c>
      <c r="F49" s="901" t="s">
        <v>796</v>
      </c>
      <c r="G49" s="932">
        <f>SUM(G39:G48)</f>
        <v>108423527</v>
      </c>
      <c r="H49" s="932">
        <f>SUM(H39:H48)</f>
        <v>11662924</v>
      </c>
      <c r="I49" s="933">
        <f>SUM(I39:I48)</f>
        <v>917879324</v>
      </c>
      <c r="J49" s="935">
        <f>SUM(J39:J48)</f>
        <v>1037965775</v>
      </c>
      <c r="M49" s="945"/>
    </row>
    <row r="50" spans="1:13" x14ac:dyDescent="0.2">
      <c r="A50" s="903" t="s">
        <v>781</v>
      </c>
      <c r="B50" s="918"/>
      <c r="C50" s="918"/>
      <c r="D50" s="919">
        <v>104020385</v>
      </c>
      <c r="E50" s="920">
        <f>SUM(B50:D50)</f>
        <v>104020385</v>
      </c>
      <c r="F50" s="960" t="s">
        <v>782</v>
      </c>
      <c r="G50" s="918"/>
      <c r="H50" s="918"/>
      <c r="I50" s="919">
        <f>'[5]8a. sz. tábla  (4)'!G43</f>
        <v>0</v>
      </c>
      <c r="J50" s="920">
        <f>SUM(G50:I50)</f>
        <v>0</v>
      </c>
    </row>
    <row r="51" spans="1:13" ht="45" x14ac:dyDescent="0.25">
      <c r="A51" s="931" t="s">
        <v>797</v>
      </c>
      <c r="B51" s="932">
        <f>B49+B50</f>
        <v>84990582</v>
      </c>
      <c r="C51" s="932">
        <f>C49+C50</f>
        <v>0</v>
      </c>
      <c r="D51" s="933">
        <f>D49+D50</f>
        <v>745053665</v>
      </c>
      <c r="E51" s="935">
        <f>E49+E50</f>
        <v>830044247</v>
      </c>
      <c r="F51" s="901" t="s">
        <v>798</v>
      </c>
      <c r="G51" s="932">
        <f>G49+G50</f>
        <v>108423527</v>
      </c>
      <c r="H51" s="932">
        <f>H49+H50</f>
        <v>11662924</v>
      </c>
      <c r="I51" s="933">
        <f>I49+I50</f>
        <v>917879324</v>
      </c>
      <c r="J51" s="935">
        <f>J49+J50</f>
        <v>1037965775</v>
      </c>
    </row>
    <row r="52" spans="1:13" ht="15" x14ac:dyDescent="0.25">
      <c r="A52" s="931" t="s">
        <v>785</v>
      </c>
      <c r="B52" s="940"/>
      <c r="C52" s="940"/>
      <c r="D52" s="940"/>
      <c r="E52" s="942"/>
      <c r="F52" s="961" t="s">
        <v>390</v>
      </c>
      <c r="G52" s="962"/>
      <c r="H52" s="962"/>
      <c r="I52" s="962"/>
      <c r="J52" s="943"/>
    </row>
    <row r="53" spans="1:13" ht="28.5" x14ac:dyDescent="0.2">
      <c r="A53" s="922" t="s">
        <v>265</v>
      </c>
      <c r="B53" s="918"/>
      <c r="C53" s="918"/>
      <c r="D53" s="919">
        <v>5314812110</v>
      </c>
      <c r="E53" s="920">
        <f>SUM(B53:D53)</f>
        <v>5314812110</v>
      </c>
      <c r="F53" s="924" t="s">
        <v>266</v>
      </c>
      <c r="G53" s="918"/>
      <c r="H53" s="918"/>
      <c r="I53" s="919">
        <v>6100866320</v>
      </c>
      <c r="J53" s="920">
        <f>SUM(G53:I53)</f>
        <v>6100866320</v>
      </c>
    </row>
    <row r="54" spans="1:13" x14ac:dyDescent="0.2">
      <c r="A54" s="946" t="s">
        <v>786</v>
      </c>
      <c r="B54" s="918"/>
      <c r="C54" s="918"/>
      <c r="D54" s="919">
        <v>236536111</v>
      </c>
      <c r="E54" s="920">
        <f>SUM(B54:D54)</f>
        <v>236536111</v>
      </c>
      <c r="F54" s="917" t="s">
        <v>268</v>
      </c>
      <c r="G54" s="918">
        <f>200000+1450470</f>
        <v>1650470</v>
      </c>
      <c r="H54" s="918"/>
      <c r="I54" s="919"/>
      <c r="J54" s="920">
        <f t="shared" ref="J54:J62" si="5">SUM(G54:I54)</f>
        <v>1650470</v>
      </c>
    </row>
    <row r="55" spans="1:13" ht="28.5" x14ac:dyDescent="0.2">
      <c r="A55" s="946" t="s">
        <v>787</v>
      </c>
      <c r="B55" s="918"/>
      <c r="C55" s="963"/>
      <c r="D55" s="964">
        <f>'2.sz.tábla   (2)'!D72</f>
        <v>211000542</v>
      </c>
      <c r="E55" s="920">
        <f>SUM(B55:D55)</f>
        <v>211000542</v>
      </c>
      <c r="F55" s="917" t="s">
        <v>270</v>
      </c>
      <c r="G55" s="918"/>
      <c r="H55" s="918"/>
      <c r="I55" s="919">
        <f>'6.sz.tábla  (3)'!D116+'6.sz.tábla  (3)'!D115</f>
        <v>11159527</v>
      </c>
      <c r="J55" s="920">
        <f t="shared" si="5"/>
        <v>11159527</v>
      </c>
    </row>
    <row r="56" spans="1:13" ht="28.5" x14ac:dyDescent="0.2">
      <c r="A56" s="136" t="s">
        <v>1</v>
      </c>
      <c r="B56" s="918"/>
      <c r="C56" s="918"/>
      <c r="D56" s="919">
        <v>153347696</v>
      </c>
      <c r="E56" s="920">
        <f>SUM(B56:D56)</f>
        <v>153347696</v>
      </c>
      <c r="F56" s="917" t="s">
        <v>788</v>
      </c>
      <c r="G56" s="918"/>
      <c r="H56" s="918"/>
      <c r="I56" s="919"/>
      <c r="J56" s="920">
        <f t="shared" si="5"/>
        <v>0</v>
      </c>
    </row>
    <row r="57" spans="1:13" ht="28.5" x14ac:dyDescent="0.2">
      <c r="A57" s="965"/>
      <c r="B57" s="918"/>
      <c r="C57" s="918"/>
      <c r="D57" s="919"/>
      <c r="E57" s="920"/>
      <c r="F57" s="917" t="s">
        <v>789</v>
      </c>
      <c r="G57" s="918"/>
      <c r="H57" s="918"/>
      <c r="I57" s="919">
        <v>184320819</v>
      </c>
      <c r="J57" s="920">
        <f t="shared" si="5"/>
        <v>184320819</v>
      </c>
    </row>
    <row r="58" spans="1:13" ht="28.5" x14ac:dyDescent="0.2">
      <c r="A58" s="965"/>
      <c r="B58" s="918"/>
      <c r="C58" s="918"/>
      <c r="D58" s="919"/>
      <c r="E58" s="920"/>
      <c r="F58" s="966" t="s">
        <v>790</v>
      </c>
      <c r="G58" s="918"/>
      <c r="H58" s="918"/>
      <c r="I58" s="919">
        <v>1426810688</v>
      </c>
      <c r="J58" s="920">
        <f t="shared" si="5"/>
        <v>1426810688</v>
      </c>
    </row>
    <row r="59" spans="1:13" ht="28.5" x14ac:dyDescent="0.2">
      <c r="A59" s="967"/>
      <c r="B59" s="918"/>
      <c r="C59" s="918"/>
      <c r="D59" s="919"/>
      <c r="E59" s="920"/>
      <c r="F59" s="813" t="s">
        <v>343</v>
      </c>
      <c r="G59" s="918"/>
      <c r="H59" s="918"/>
      <c r="I59" s="919">
        <v>0</v>
      </c>
      <c r="J59" s="920">
        <f t="shared" si="5"/>
        <v>0</v>
      </c>
    </row>
    <row r="60" spans="1:13" ht="28.5" x14ac:dyDescent="0.2">
      <c r="A60" s="967"/>
      <c r="B60" s="918"/>
      <c r="C60" s="918"/>
      <c r="D60" s="919"/>
      <c r="E60" s="920"/>
      <c r="F60" s="813" t="s">
        <v>772</v>
      </c>
      <c r="G60" s="918"/>
      <c r="H60" s="918"/>
      <c r="I60" s="919">
        <f>'7. sz. tábla 1'!D173</f>
        <v>17731099</v>
      </c>
      <c r="J60" s="920">
        <f t="shared" si="5"/>
        <v>17731099</v>
      </c>
    </row>
    <row r="61" spans="1:13" ht="30" x14ac:dyDescent="0.25">
      <c r="A61" s="968" t="s">
        <v>799</v>
      </c>
      <c r="B61" s="932">
        <f>SUM(B53:B59)</f>
        <v>0</v>
      </c>
      <c r="C61" s="932">
        <f>SUM(C53:C59)</f>
        <v>0</v>
      </c>
      <c r="D61" s="933">
        <f>SUM(D53:D59)</f>
        <v>5915696459</v>
      </c>
      <c r="E61" s="935">
        <f>SUM(E53:E59)</f>
        <v>5915696459</v>
      </c>
      <c r="F61" s="901" t="s">
        <v>800</v>
      </c>
      <c r="G61" s="932">
        <f>SUM(G53:G59)</f>
        <v>1650470</v>
      </c>
      <c r="H61" s="932">
        <f>SUM(H53:H59)</f>
        <v>0</v>
      </c>
      <c r="I61" s="933">
        <f>SUM(I53:I60)</f>
        <v>7740888453</v>
      </c>
      <c r="J61" s="935">
        <f>SUM(J53:J60)</f>
        <v>7742538923</v>
      </c>
    </row>
    <row r="62" spans="1:13" x14ac:dyDescent="0.2">
      <c r="A62" s="902" t="s">
        <v>781</v>
      </c>
      <c r="B62" s="918"/>
      <c r="C62" s="918"/>
      <c r="D62" s="919">
        <f>2307867828+47714500</f>
        <v>2355582328</v>
      </c>
      <c r="E62" s="920">
        <f>SUM(B62:D62)</f>
        <v>2355582328</v>
      </c>
      <c r="F62" s="960" t="s">
        <v>782</v>
      </c>
      <c r="G62" s="918"/>
      <c r="H62" s="918"/>
      <c r="I62" s="919">
        <v>0</v>
      </c>
      <c r="J62" s="920">
        <f t="shared" si="5"/>
        <v>0</v>
      </c>
    </row>
    <row r="63" spans="1:13" x14ac:dyDescent="0.2">
      <c r="A63" s="902"/>
      <c r="B63" s="918"/>
      <c r="C63" s="918"/>
      <c r="D63" s="919"/>
      <c r="E63" s="920"/>
      <c r="F63" s="917"/>
      <c r="G63" s="918"/>
      <c r="H63" s="918"/>
      <c r="I63" s="919"/>
      <c r="J63" s="943"/>
    </row>
    <row r="64" spans="1:13" ht="45" x14ac:dyDescent="0.25">
      <c r="A64" s="969" t="s">
        <v>801</v>
      </c>
      <c r="B64" s="932">
        <f>B61+B62</f>
        <v>0</v>
      </c>
      <c r="C64" s="932">
        <f>C61+C62</f>
        <v>0</v>
      </c>
      <c r="D64" s="933">
        <f>D61+D62</f>
        <v>8271278787</v>
      </c>
      <c r="E64" s="935">
        <f>E61+E62</f>
        <v>8271278787</v>
      </c>
      <c r="F64" s="970" t="s">
        <v>802</v>
      </c>
      <c r="G64" s="932">
        <f>G61+G62</f>
        <v>1650470</v>
      </c>
      <c r="H64" s="932">
        <f>H61+H62</f>
        <v>0</v>
      </c>
      <c r="I64" s="933">
        <f>I61+I62</f>
        <v>7740888453</v>
      </c>
      <c r="J64" s="935">
        <f>J61+J62</f>
        <v>7742538923</v>
      </c>
    </row>
    <row r="65" spans="1:10" x14ac:dyDescent="0.2">
      <c r="A65" s="971"/>
      <c r="B65" s="972">
        <f>B64+B51</f>
        <v>84990582</v>
      </c>
      <c r="C65" s="972">
        <f>C64+C51</f>
        <v>0</v>
      </c>
      <c r="D65" s="972">
        <f>D64+D51</f>
        <v>9016332452</v>
      </c>
      <c r="E65" s="972">
        <f>E64+E51</f>
        <v>9101323034</v>
      </c>
      <c r="F65" s="973"/>
      <c r="G65" s="953">
        <f>G64+G51</f>
        <v>110073997</v>
      </c>
      <c r="H65" s="953">
        <f>H64+H51</f>
        <v>11662924</v>
      </c>
      <c r="I65" s="953">
        <f>I64+I51</f>
        <v>8658767777</v>
      </c>
      <c r="J65" s="953">
        <f>J64+J51</f>
        <v>8780504698</v>
      </c>
    </row>
    <row r="66" spans="1:10" x14ac:dyDescent="0.2">
      <c r="A66" s="971"/>
      <c r="B66" s="972"/>
      <c r="C66" s="972"/>
      <c r="D66" s="972"/>
      <c r="E66" s="972"/>
      <c r="F66" s="973"/>
      <c r="G66" s="953"/>
      <c r="H66" s="953"/>
      <c r="I66" s="953"/>
      <c r="J66" s="953"/>
    </row>
    <row r="67" spans="1:10" x14ac:dyDescent="0.2">
      <c r="A67" s="971"/>
      <c r="B67" s="972"/>
      <c r="C67" s="972"/>
      <c r="D67" s="972"/>
      <c r="E67" s="972"/>
      <c r="F67" s="973"/>
      <c r="G67" s="953"/>
      <c r="H67" s="953"/>
      <c r="I67" s="953"/>
      <c r="J67" s="953"/>
    </row>
    <row r="68" spans="1:10" ht="15.75" customHeight="1" x14ac:dyDescent="0.25">
      <c r="A68" s="2002" t="s">
        <v>977</v>
      </c>
      <c r="B68" s="2002"/>
      <c r="C68" s="2002"/>
      <c r="D68" s="2002"/>
      <c r="E68" s="2002"/>
      <c r="F68" s="2002"/>
      <c r="G68" s="2002"/>
    </row>
    <row r="70" spans="1:10" s="896" customFormat="1" ht="25.5" x14ac:dyDescent="0.2">
      <c r="A70" s="954" t="s">
        <v>241</v>
      </c>
      <c r="B70" s="891" t="s">
        <v>389</v>
      </c>
      <c r="C70" s="892" t="s">
        <v>776</v>
      </c>
      <c r="D70" s="893" t="s">
        <v>387</v>
      </c>
      <c r="E70" s="894" t="s">
        <v>771</v>
      </c>
      <c r="F70" s="955" t="s">
        <v>242</v>
      </c>
      <c r="G70" s="891" t="s">
        <v>389</v>
      </c>
      <c r="H70" s="892" t="s">
        <v>776</v>
      </c>
      <c r="I70" s="893" t="s">
        <v>387</v>
      </c>
      <c r="J70" s="894" t="s">
        <v>771</v>
      </c>
    </row>
    <row r="71" spans="1:10" ht="15" x14ac:dyDescent="0.25">
      <c r="A71" s="974" t="s">
        <v>777</v>
      </c>
      <c r="B71" s="898"/>
      <c r="C71" s="898"/>
      <c r="D71" s="899"/>
      <c r="E71" s="900"/>
      <c r="F71" s="975" t="s">
        <v>386</v>
      </c>
      <c r="G71" s="957"/>
      <c r="H71" s="957"/>
      <c r="I71" s="958"/>
      <c r="J71" s="943"/>
    </row>
    <row r="72" spans="1:10" ht="28.5" x14ac:dyDescent="0.2">
      <c r="A72" s="976" t="s">
        <v>778</v>
      </c>
      <c r="B72" s="918"/>
      <c r="C72" s="918">
        <f>(158520651+105750)*0.187+(20923749+30078809+71916)*0.2161+29100953*0.187</f>
        <v>46142209.029399998</v>
      </c>
      <c r="D72" s="919"/>
      <c r="E72" s="920">
        <f>SUM(B72:D72)</f>
        <v>46142209.029399998</v>
      </c>
      <c r="F72" s="924" t="s">
        <v>131</v>
      </c>
      <c r="G72" s="918"/>
      <c r="H72" s="918">
        <v>58960205</v>
      </c>
      <c r="I72" s="919"/>
      <c r="J72" s="920">
        <f t="shared" ref="J72:J78" si="6">SUM(G72:I72)</f>
        <v>58960205</v>
      </c>
    </row>
    <row r="73" spans="1:10" x14ac:dyDescent="0.2">
      <c r="A73" s="965" t="s">
        <v>244</v>
      </c>
      <c r="B73" s="918"/>
      <c r="C73" s="918">
        <v>0</v>
      </c>
      <c r="D73" s="919"/>
      <c r="E73" s="920">
        <f>SUM(B73:D73)</f>
        <v>0</v>
      </c>
      <c r="F73" s="977" t="s">
        <v>123</v>
      </c>
      <c r="G73" s="918"/>
      <c r="H73" s="918">
        <v>11541883</v>
      </c>
      <c r="I73" s="919"/>
      <c r="J73" s="920">
        <f t="shared" si="6"/>
        <v>11541883</v>
      </c>
    </row>
    <row r="74" spans="1:10" x14ac:dyDescent="0.2">
      <c r="A74" s="921" t="s">
        <v>246</v>
      </c>
      <c r="B74" s="918">
        <v>0</v>
      </c>
      <c r="C74" s="918">
        <v>6000000</v>
      </c>
      <c r="D74" s="919"/>
      <c r="E74" s="920">
        <f>SUM(B74:D74)</f>
        <v>6000000</v>
      </c>
      <c r="F74" s="977" t="s">
        <v>249</v>
      </c>
      <c r="G74" s="918"/>
      <c r="H74" s="918">
        <v>15985854</v>
      </c>
      <c r="I74" s="919"/>
      <c r="J74" s="920">
        <f t="shared" si="6"/>
        <v>15985854</v>
      </c>
    </row>
    <row r="75" spans="1:10" ht="28.5" x14ac:dyDescent="0.2">
      <c r="A75" s="922" t="s">
        <v>250</v>
      </c>
      <c r="B75" s="918"/>
      <c r="C75" s="918"/>
      <c r="D75" s="919"/>
      <c r="E75" s="920"/>
      <c r="F75" s="978" t="s">
        <v>150</v>
      </c>
      <c r="G75" s="918"/>
      <c r="H75" s="918"/>
      <c r="I75" s="919"/>
      <c r="J75" s="920">
        <f t="shared" si="6"/>
        <v>0</v>
      </c>
    </row>
    <row r="76" spans="1:10" x14ac:dyDescent="0.2">
      <c r="A76" s="965"/>
      <c r="B76" s="918"/>
      <c r="C76" s="918"/>
      <c r="D76" s="919"/>
      <c r="E76" s="920"/>
      <c r="F76" s="977" t="s">
        <v>129</v>
      </c>
      <c r="G76" s="918"/>
      <c r="H76" s="918"/>
      <c r="I76" s="919"/>
      <c r="J76" s="920">
        <f t="shared" si="6"/>
        <v>0</v>
      </c>
    </row>
    <row r="77" spans="1:10" x14ac:dyDescent="0.2">
      <c r="A77" s="979"/>
      <c r="B77" s="918"/>
      <c r="C77" s="918"/>
      <c r="D77" s="919"/>
      <c r="E77" s="920"/>
      <c r="F77" s="813" t="s">
        <v>324</v>
      </c>
      <c r="G77" s="918"/>
      <c r="H77" s="918"/>
      <c r="I77" s="919"/>
      <c r="J77" s="920">
        <f t="shared" si="6"/>
        <v>0</v>
      </c>
    </row>
    <row r="78" spans="1:10" ht="28.5" x14ac:dyDescent="0.2">
      <c r="A78" s="979"/>
      <c r="B78" s="918"/>
      <c r="C78" s="918"/>
      <c r="D78" s="919"/>
      <c r="E78" s="920"/>
      <c r="F78" s="813" t="s">
        <v>325</v>
      </c>
      <c r="G78" s="918"/>
      <c r="H78" s="918">
        <v>623334</v>
      </c>
      <c r="I78" s="919"/>
      <c r="J78" s="920">
        <f t="shared" si="6"/>
        <v>623334</v>
      </c>
    </row>
    <row r="79" spans="1:10" ht="28.5" x14ac:dyDescent="0.2">
      <c r="A79" s="976"/>
      <c r="B79" s="918"/>
      <c r="C79" s="923"/>
      <c r="D79" s="926"/>
      <c r="E79" s="927"/>
      <c r="F79" s="820" t="s">
        <v>326</v>
      </c>
      <c r="G79" s="918"/>
      <c r="H79" s="918"/>
      <c r="I79" s="919"/>
      <c r="J79" s="943"/>
    </row>
    <row r="80" spans="1:10" ht="28.5" x14ac:dyDescent="0.2">
      <c r="A80" s="922"/>
      <c r="B80" s="918"/>
      <c r="C80" s="918"/>
      <c r="D80" s="919"/>
      <c r="E80" s="920"/>
      <c r="F80" s="813" t="s">
        <v>327</v>
      </c>
      <c r="G80" s="918"/>
      <c r="H80" s="918"/>
      <c r="I80" s="919"/>
      <c r="J80" s="943"/>
    </row>
    <row r="81" spans="1:11" x14ac:dyDescent="0.2">
      <c r="A81" s="980"/>
      <c r="B81" s="918"/>
      <c r="C81" s="918"/>
      <c r="D81" s="919"/>
      <c r="E81" s="920"/>
      <c r="F81" s="821" t="s">
        <v>318</v>
      </c>
      <c r="G81" s="918"/>
      <c r="H81" s="918"/>
      <c r="I81" s="919"/>
      <c r="J81" s="943"/>
    </row>
    <row r="82" spans="1:11" ht="45" x14ac:dyDescent="0.25">
      <c r="A82" s="968" t="s">
        <v>803</v>
      </c>
      <c r="B82" s="932">
        <f>SUM(B72:B81)</f>
        <v>0</v>
      </c>
      <c r="C82" s="932">
        <f>SUM(C72:C81)</f>
        <v>52142209.029399998</v>
      </c>
      <c r="D82" s="933">
        <f>SUM(D72:D81)</f>
        <v>0</v>
      </c>
      <c r="E82" s="935">
        <f>SUM(E72:E81)</f>
        <v>52142209.029399998</v>
      </c>
      <c r="F82" s="975" t="s">
        <v>804</v>
      </c>
      <c r="G82" s="932">
        <f>SUM(G72:G81)</f>
        <v>0</v>
      </c>
      <c r="H82" s="932">
        <f>SUM(H72:H81)</f>
        <v>87111276</v>
      </c>
      <c r="I82" s="933">
        <f>SUM(I72:I81)</f>
        <v>0</v>
      </c>
      <c r="J82" s="935">
        <f>SUM(J72:J81)</f>
        <v>87111276</v>
      </c>
    </row>
    <row r="83" spans="1:11" x14ac:dyDescent="0.2">
      <c r="A83" s="902" t="s">
        <v>781</v>
      </c>
      <c r="B83" s="918"/>
      <c r="C83" s="918">
        <f>('2.sz.tábla   (2)'!G77-'5.tábla (2)'!C35)*0.187+'5.tábla (2)'!C35*0.2161</f>
        <v>5160019.9780000001</v>
      </c>
      <c r="D83" s="919"/>
      <c r="E83" s="920">
        <f>SUM(B83:D83)</f>
        <v>5160019.9780000001</v>
      </c>
      <c r="F83" s="981" t="s">
        <v>782</v>
      </c>
      <c r="G83" s="918"/>
      <c r="H83" s="918"/>
      <c r="I83" s="919"/>
      <c r="J83" s="943"/>
    </row>
    <row r="84" spans="1:11" ht="45" x14ac:dyDescent="0.25">
      <c r="A84" s="968" t="s">
        <v>805</v>
      </c>
      <c r="B84" s="932">
        <f>B82+B83</f>
        <v>0</v>
      </c>
      <c r="C84" s="932">
        <f>C82+C83</f>
        <v>57302229.007399999</v>
      </c>
      <c r="D84" s="933">
        <f>D82+D83</f>
        <v>0</v>
      </c>
      <c r="E84" s="935">
        <f>E82+E83</f>
        <v>57302229.007399999</v>
      </c>
      <c r="F84" s="975" t="s">
        <v>806</v>
      </c>
      <c r="G84" s="932">
        <f>G82+G83</f>
        <v>0</v>
      </c>
      <c r="H84" s="932">
        <f>H82+H83</f>
        <v>87111276</v>
      </c>
      <c r="I84" s="933">
        <f>I82+I83</f>
        <v>0</v>
      </c>
      <c r="J84" s="935">
        <f>J82+J83</f>
        <v>87111276</v>
      </c>
    </row>
    <row r="85" spans="1:11" ht="15" x14ac:dyDescent="0.25">
      <c r="A85" s="931" t="s">
        <v>785</v>
      </c>
      <c r="B85" s="940"/>
      <c r="C85" s="940"/>
      <c r="D85" s="940"/>
      <c r="E85" s="942"/>
      <c r="F85" s="961" t="s">
        <v>390</v>
      </c>
      <c r="G85" s="962"/>
      <c r="H85" s="962"/>
      <c r="I85" s="962"/>
      <c r="J85" s="943"/>
    </row>
    <row r="86" spans="1:11" ht="29.25" x14ac:dyDescent="0.25">
      <c r="A86" s="922" t="s">
        <v>265</v>
      </c>
      <c r="B86" s="932"/>
      <c r="C86" s="932"/>
      <c r="D86" s="933"/>
      <c r="E86" s="935"/>
      <c r="F86" s="924" t="s">
        <v>266</v>
      </c>
      <c r="G86" s="918"/>
      <c r="H86" s="918"/>
      <c r="I86" s="919"/>
      <c r="J86" s="920">
        <f t="shared" ref="J86:J91" si="7">SUM(G86:I86)</f>
        <v>0</v>
      </c>
    </row>
    <row r="87" spans="1:11" x14ac:dyDescent="0.2">
      <c r="A87" s="946" t="s">
        <v>786</v>
      </c>
      <c r="B87" s="918"/>
      <c r="C87" s="918"/>
      <c r="D87" s="919"/>
      <c r="E87" s="920"/>
      <c r="F87" s="917" t="s">
        <v>268</v>
      </c>
      <c r="G87" s="918"/>
      <c r="H87" s="918">
        <v>3932216</v>
      </c>
      <c r="I87" s="919"/>
      <c r="J87" s="920">
        <f t="shared" si="7"/>
        <v>3932216</v>
      </c>
    </row>
    <row r="88" spans="1:11" ht="29.25" x14ac:dyDescent="0.25">
      <c r="A88" s="946" t="s">
        <v>787</v>
      </c>
      <c r="B88" s="982"/>
      <c r="C88" s="982"/>
      <c r="D88" s="983"/>
      <c r="E88" s="984"/>
      <c r="F88" s="917" t="s">
        <v>270</v>
      </c>
      <c r="G88" s="918"/>
      <c r="H88" s="918"/>
      <c r="I88" s="919"/>
      <c r="J88" s="920">
        <f t="shared" si="7"/>
        <v>0</v>
      </c>
    </row>
    <row r="89" spans="1:11" x14ac:dyDescent="0.2">
      <c r="A89" s="915"/>
      <c r="B89" s="918"/>
      <c r="C89" s="918"/>
      <c r="D89" s="919"/>
      <c r="E89" s="920"/>
      <c r="F89" s="917" t="s">
        <v>788</v>
      </c>
      <c r="G89" s="918"/>
      <c r="H89" s="918"/>
      <c r="I89" s="919"/>
      <c r="J89" s="920">
        <f t="shared" si="7"/>
        <v>0</v>
      </c>
    </row>
    <row r="90" spans="1:11" ht="30" x14ac:dyDescent="0.25">
      <c r="A90" s="968" t="s">
        <v>799</v>
      </c>
      <c r="B90" s="932">
        <f>SUM(B86:B88)</f>
        <v>0</v>
      </c>
      <c r="C90" s="932">
        <f>SUM(C86:C88)</f>
        <v>0</v>
      </c>
      <c r="D90" s="933">
        <f>SUM(D86:D88)</f>
        <v>0</v>
      </c>
      <c r="E90" s="935">
        <f>SUM(E86:E88)</f>
        <v>0</v>
      </c>
      <c r="F90" s="917" t="s">
        <v>789</v>
      </c>
      <c r="G90" s="918"/>
      <c r="H90" s="918"/>
      <c r="I90" s="919"/>
      <c r="J90" s="920">
        <f t="shared" si="7"/>
        <v>0</v>
      </c>
    </row>
    <row r="91" spans="1:11" ht="28.5" x14ac:dyDescent="0.2">
      <c r="A91" s="902" t="s">
        <v>781</v>
      </c>
      <c r="B91" s="918"/>
      <c r="C91" s="918">
        <f>'2.sz.tábla   (2)'!G78*0.187</f>
        <v>1576015.6170000001</v>
      </c>
      <c r="D91" s="919"/>
      <c r="E91" s="920">
        <f>SUM(B91:D91)</f>
        <v>1576015.6170000001</v>
      </c>
      <c r="F91" s="966" t="s">
        <v>790</v>
      </c>
      <c r="G91" s="918"/>
      <c r="H91" s="918"/>
      <c r="I91" s="919"/>
      <c r="J91" s="920">
        <f t="shared" si="7"/>
        <v>0</v>
      </c>
    </row>
    <row r="92" spans="1:11" ht="28.5" x14ac:dyDescent="0.2">
      <c r="A92" s="948"/>
      <c r="B92" s="918"/>
      <c r="C92" s="918"/>
      <c r="D92" s="919"/>
      <c r="E92" s="920"/>
      <c r="F92" s="813" t="s">
        <v>274</v>
      </c>
      <c r="G92" s="918"/>
      <c r="H92" s="918"/>
      <c r="I92" s="919"/>
      <c r="J92" s="943"/>
    </row>
    <row r="93" spans="1:11" ht="45" x14ac:dyDescent="0.25">
      <c r="A93" s="939" t="s">
        <v>807</v>
      </c>
      <c r="B93" s="932">
        <f>SUM(B86:B92)</f>
        <v>0</v>
      </c>
      <c r="C93" s="933">
        <f>SUM(C86:C92)</f>
        <v>1576015.6170000001</v>
      </c>
      <c r="D93" s="933">
        <f>SUM(D86:D92)</f>
        <v>0</v>
      </c>
      <c r="E93" s="935">
        <f>SUM(E86:E92)</f>
        <v>1576015.6170000001</v>
      </c>
      <c r="F93" s="970" t="s">
        <v>808</v>
      </c>
      <c r="G93" s="932">
        <f>SUM(G86:G92)</f>
        <v>0</v>
      </c>
      <c r="H93" s="933">
        <f>SUM(H86:H92)</f>
        <v>3932216</v>
      </c>
      <c r="I93" s="933">
        <f>SUM(I86:I92)</f>
        <v>0</v>
      </c>
      <c r="J93" s="935">
        <f>SUM(J86:J92)</f>
        <v>3932216</v>
      </c>
    </row>
    <row r="94" spans="1:11" x14ac:dyDescent="0.2">
      <c r="B94" s="945">
        <f>B93+B84+B64+B51+B33+B21</f>
        <v>327394102.07478428</v>
      </c>
      <c r="C94" s="945">
        <f>C93+C84+C64+C51+C33+C21</f>
        <v>309503022</v>
      </c>
      <c r="D94" s="945">
        <f>D93+D84+D64+D51+D33+D21</f>
        <v>15752944917.925217</v>
      </c>
      <c r="E94" s="945">
        <f>E93+E84+E64+E51+E33+E21</f>
        <v>16389842042</v>
      </c>
      <c r="G94" s="953">
        <f>G93+G84+G64+G51+G33+G21</f>
        <v>435513001</v>
      </c>
      <c r="H94" s="953">
        <f>H93+H84+H64+H51+H33+H21</f>
        <v>491467062</v>
      </c>
      <c r="I94" s="953">
        <f>I93+I84+I64+I51+I33+I21</f>
        <v>15462861979</v>
      </c>
      <c r="J94" s="953">
        <f>SUM(G94:I94)</f>
        <v>16389842042</v>
      </c>
      <c r="K94" s="945">
        <f>J93+J84+J64+J51+J33+J21</f>
        <v>16389842042</v>
      </c>
    </row>
    <row r="95" spans="1:11" x14ac:dyDescent="0.2">
      <c r="A95" s="956" t="s">
        <v>809</v>
      </c>
      <c r="B95" s="945">
        <f>B94-G94</f>
        <v>-108118898.92521572</v>
      </c>
      <c r="C95" s="945">
        <f>C94-H94</f>
        <v>-181964040</v>
      </c>
      <c r="D95" s="945">
        <f>D94-I94</f>
        <v>290082938.92521667</v>
      </c>
      <c r="E95" s="945">
        <f>J94-E94</f>
        <v>0</v>
      </c>
      <c r="J95" s="953">
        <f>E96-J94</f>
        <v>0</v>
      </c>
    </row>
    <row r="96" spans="1:11" x14ac:dyDescent="0.2">
      <c r="C96" s="945">
        <f>SUM(B95:C95)</f>
        <v>-290082938.92521572</v>
      </c>
      <c r="E96" s="945">
        <f>'8a. sz. tábla  (4)'!D64</f>
        <v>16389842042</v>
      </c>
      <c r="H96" s="953"/>
    </row>
    <row r="97" spans="3:10" x14ac:dyDescent="0.2">
      <c r="E97" s="945"/>
      <c r="H97" s="953">
        <f>H84+H93</f>
        <v>91043492</v>
      </c>
      <c r="J97" s="953"/>
    </row>
    <row r="98" spans="3:10" x14ac:dyDescent="0.2">
      <c r="E98" s="945"/>
      <c r="J98" s="953"/>
    </row>
    <row r="100" spans="3:10" x14ac:dyDescent="0.2">
      <c r="C100" s="945"/>
      <c r="H100" s="953"/>
    </row>
  </sheetData>
  <sheetProtection selectLockedCells="1" selectUnlockedCells="1"/>
  <mergeCells count="4">
    <mergeCell ref="A1:J3"/>
    <mergeCell ref="A5:G5"/>
    <mergeCell ref="A35:G35"/>
    <mergeCell ref="A68:G68"/>
  </mergeCells>
  <pageMargins left="0.75" right="0.75" top="1" bottom="1" header="0.5" footer="0.51180555555555551"/>
  <pageSetup paperSize="9" scale="61" firstPageNumber="0" orientation="landscape" r:id="rId1"/>
  <headerFooter alignWithMargins="0">
    <oddHeader>&amp;C9. melléklet
 az önkormányzat 2020. évi költségvetéséről szóló 6/2019. (III.06.) önkormányzati rendelethez
a 42/2020. (XII.21.) önkormányzati rendelet módosítással egységes szerkezetbe foglalva
&amp;R
&amp;P. oldal
ezer forint</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84"/>
  <sheetViews>
    <sheetView view="pageLayout" zoomScale="64" zoomScaleNormal="100" zoomScalePageLayoutView="64" workbookViewId="0">
      <selection activeCell="A81" sqref="A81"/>
    </sheetView>
  </sheetViews>
  <sheetFormatPr defaultRowHeight="15" x14ac:dyDescent="0.2"/>
  <cols>
    <col min="1" max="1" width="11.140625" style="1005" bestFit="1" customWidth="1"/>
    <col min="2" max="2" width="26" style="1849" bestFit="1" customWidth="1"/>
    <col min="3" max="3" width="13.7109375" style="1005" customWidth="1"/>
    <col min="4" max="4" width="19.7109375" style="1901" customWidth="1"/>
    <col min="5" max="5" width="17.28515625" style="1901" customWidth="1"/>
    <col min="6" max="6" width="17.85546875" style="1851" customWidth="1"/>
    <col min="7" max="7" width="18" style="1851" customWidth="1"/>
    <col min="8" max="8" width="16.5703125" style="1901" customWidth="1"/>
    <col min="9" max="9" width="17.28515625" style="1901" customWidth="1"/>
    <col min="10" max="10" width="16.28515625" style="1901" customWidth="1"/>
    <col min="11" max="11" width="17.85546875" style="1901" customWidth="1"/>
    <col min="12" max="12" width="19.140625" style="1901" customWidth="1"/>
    <col min="13" max="13" width="14.140625" bestFit="1" customWidth="1"/>
    <col min="14" max="14" width="10.140625" bestFit="1" customWidth="1"/>
  </cols>
  <sheetData>
    <row r="2" spans="1:14" ht="15.75" x14ac:dyDescent="0.25">
      <c r="A2" s="1940" t="s">
        <v>1289</v>
      </c>
      <c r="B2" s="1940"/>
      <c r="C2" s="1940"/>
      <c r="D2" s="1940"/>
      <c r="E2" s="1940"/>
      <c r="F2" s="1940"/>
      <c r="G2" s="1940"/>
      <c r="H2" s="1940"/>
      <c r="I2" s="1940"/>
      <c r="J2" s="1940"/>
      <c r="K2" s="1940"/>
      <c r="L2" s="1940"/>
    </row>
    <row r="3" spans="1:14" x14ac:dyDescent="0.2">
      <c r="D3" s="1850"/>
      <c r="E3" s="1850"/>
      <c r="H3" s="1850"/>
      <c r="I3" s="1850"/>
      <c r="J3" s="1850"/>
      <c r="K3" s="1850"/>
      <c r="L3" s="1850"/>
    </row>
    <row r="4" spans="1:14" s="152" customFormat="1" ht="31.5" customHeight="1" x14ac:dyDescent="0.25">
      <c r="A4" s="1852"/>
      <c r="B4" s="2004" t="s">
        <v>1290</v>
      </c>
      <c r="C4" s="1853" t="s">
        <v>1291</v>
      </c>
      <c r="D4" s="2003" t="s">
        <v>1292</v>
      </c>
      <c r="E4" s="2003" t="s">
        <v>1293</v>
      </c>
      <c r="F4" s="2005" t="s">
        <v>1268</v>
      </c>
      <c r="G4" s="2005" t="s">
        <v>1294</v>
      </c>
      <c r="H4" s="2003" t="s">
        <v>1295</v>
      </c>
      <c r="I4" s="2003" t="s">
        <v>1296</v>
      </c>
      <c r="J4" s="2003" t="s">
        <v>1297</v>
      </c>
      <c r="K4" s="2003" t="s">
        <v>1298</v>
      </c>
      <c r="L4" s="2003" t="s">
        <v>1299</v>
      </c>
    </row>
    <row r="5" spans="1:14" s="152" customFormat="1" ht="15.75" customHeight="1" x14ac:dyDescent="0.25">
      <c r="A5" s="1852"/>
      <c r="B5" s="2004"/>
      <c r="C5" s="1853" t="s">
        <v>1300</v>
      </c>
      <c r="D5" s="2003"/>
      <c r="E5" s="2003"/>
      <c r="F5" s="2005"/>
      <c r="G5" s="2005"/>
      <c r="H5" s="2003"/>
      <c r="I5" s="2003"/>
      <c r="J5" s="2003"/>
      <c r="K5" s="2003"/>
      <c r="L5" s="2003"/>
    </row>
    <row r="6" spans="1:14" s="152" customFormat="1" ht="30.75" customHeight="1" x14ac:dyDescent="0.25">
      <c r="A6" s="1852"/>
      <c r="B6" s="1854"/>
      <c r="C6" s="1852"/>
      <c r="D6" s="1855" t="s">
        <v>1301</v>
      </c>
      <c r="E6" s="2003"/>
      <c r="F6" s="2005"/>
      <c r="G6" s="2005"/>
      <c r="H6" s="2003"/>
      <c r="I6" s="2003"/>
      <c r="J6" s="2003"/>
      <c r="K6" s="2003"/>
      <c r="L6" s="2003"/>
    </row>
    <row r="7" spans="1:14" x14ac:dyDescent="0.2">
      <c r="A7" s="1856" t="s">
        <v>1095</v>
      </c>
      <c r="B7" s="1857" t="s">
        <v>344</v>
      </c>
      <c r="C7" s="1856" t="s">
        <v>1096</v>
      </c>
      <c r="D7" s="1858" t="s">
        <v>1097</v>
      </c>
      <c r="E7" s="1858" t="s">
        <v>1098</v>
      </c>
      <c r="F7" s="1859" t="s">
        <v>1099</v>
      </c>
      <c r="G7" s="1859" t="s">
        <v>1100</v>
      </c>
      <c r="H7" s="1858" t="s">
        <v>1101</v>
      </c>
      <c r="I7" s="1858" t="s">
        <v>1102</v>
      </c>
      <c r="J7" s="1858" t="s">
        <v>1103</v>
      </c>
      <c r="K7" s="1858" t="s">
        <v>1104</v>
      </c>
      <c r="L7" s="1858" t="s">
        <v>1105</v>
      </c>
    </row>
    <row r="8" spans="1:14" ht="30" x14ac:dyDescent="0.2">
      <c r="A8" s="1856">
        <v>1</v>
      </c>
      <c r="B8" s="1857" t="s">
        <v>1302</v>
      </c>
      <c r="C8" s="1856"/>
      <c r="D8" s="1858"/>
      <c r="E8" s="1858"/>
      <c r="F8" s="1859"/>
      <c r="G8" s="1859"/>
      <c r="H8" s="1858"/>
      <c r="I8" s="1858"/>
      <c r="J8" s="1858"/>
      <c r="K8" s="1858"/>
      <c r="L8" s="1858"/>
    </row>
    <row r="9" spans="1:14" x14ac:dyDescent="0.2">
      <c r="A9" s="1856">
        <v>2</v>
      </c>
      <c r="B9" s="1857" t="s">
        <v>1303</v>
      </c>
      <c r="C9" s="1860"/>
      <c r="D9" s="1861"/>
      <c r="E9" s="1861"/>
      <c r="F9" s="1859"/>
      <c r="G9" s="1859"/>
      <c r="H9" s="1862"/>
      <c r="I9" s="1862"/>
      <c r="J9" s="1862"/>
      <c r="K9" s="1862"/>
      <c r="L9" s="1863"/>
    </row>
    <row r="10" spans="1:14" x14ac:dyDescent="0.2">
      <c r="A10" s="1856">
        <v>3</v>
      </c>
      <c r="B10" s="1864"/>
      <c r="C10" s="1860"/>
      <c r="D10" s="1861"/>
      <c r="E10" s="1861"/>
      <c r="F10" s="1859"/>
      <c r="G10" s="1859"/>
      <c r="H10" s="1862"/>
      <c r="I10" s="1862"/>
      <c r="J10" s="1862"/>
      <c r="K10" s="1862"/>
      <c r="L10" s="1863"/>
    </row>
    <row r="11" spans="1:14" ht="30" x14ac:dyDescent="0.2">
      <c r="A11" s="1856">
        <v>4</v>
      </c>
      <c r="B11" s="1857" t="s">
        <v>1304</v>
      </c>
      <c r="D11" s="1861"/>
      <c r="E11" s="1861"/>
      <c r="F11" s="1859"/>
      <c r="G11" s="1859"/>
      <c r="H11" s="1862"/>
      <c r="I11" s="1862"/>
      <c r="J11" s="1862"/>
      <c r="K11" s="1862"/>
      <c r="L11" s="1863"/>
    </row>
    <row r="12" spans="1:14" ht="15.75" x14ac:dyDescent="0.25">
      <c r="A12" s="1856">
        <v>5</v>
      </c>
      <c r="B12" s="1857" t="s">
        <v>1305</v>
      </c>
      <c r="C12" s="1860"/>
      <c r="D12" s="1865">
        <f>D14+D16+D18+D20</f>
        <v>563334567</v>
      </c>
      <c r="E12" s="1865">
        <f>SUM(E13)</f>
        <v>0</v>
      </c>
      <c r="F12" s="1859">
        <f t="shared" ref="F12:K12" si="0">F14+F16+F18+F20</f>
        <v>86995829</v>
      </c>
      <c r="G12" s="1859">
        <f t="shared" si="0"/>
        <v>85001182</v>
      </c>
      <c r="H12" s="1865">
        <f t="shared" si="0"/>
        <v>83044070</v>
      </c>
      <c r="I12" s="1865">
        <f t="shared" si="0"/>
        <v>81086957</v>
      </c>
      <c r="J12" s="1865">
        <f t="shared" si="0"/>
        <v>231534282</v>
      </c>
      <c r="K12" s="1865">
        <f t="shared" si="0"/>
        <v>480666491</v>
      </c>
      <c r="L12" s="1865">
        <f>D12+E12+F12+K12</f>
        <v>1130996887</v>
      </c>
    </row>
    <row r="13" spans="1:14" ht="30.75" x14ac:dyDescent="0.25">
      <c r="A13" s="1856">
        <v>6</v>
      </c>
      <c r="B13" s="1866" t="s">
        <v>1255</v>
      </c>
      <c r="C13" s="1867">
        <v>2014</v>
      </c>
      <c r="D13" s="1861">
        <v>480303030</v>
      </c>
      <c r="E13" s="1861"/>
      <c r="F13" s="1859">
        <v>74242424</v>
      </c>
      <c r="G13" s="1859">
        <v>74242424</v>
      </c>
      <c r="H13" s="1862">
        <v>74242424</v>
      </c>
      <c r="I13" s="1862">
        <v>74242424</v>
      </c>
      <c r="J13" s="1868">
        <v>222727274</v>
      </c>
      <c r="K13" s="1869">
        <f>G13+H13+I13+J13</f>
        <v>445454546</v>
      </c>
      <c r="L13" s="1863">
        <f>D13+E13+F13+K13</f>
        <v>1000000000</v>
      </c>
      <c r="M13" s="639">
        <f>F13+K13</f>
        <v>519696970</v>
      </c>
    </row>
    <row r="14" spans="1:14" ht="15.75" x14ac:dyDescent="0.25">
      <c r="A14" s="1856">
        <v>7</v>
      </c>
      <c r="B14" s="1870" t="s">
        <v>1306</v>
      </c>
      <c r="C14" s="1871"/>
      <c r="D14" s="1865">
        <f t="shared" ref="D14:L14" si="1">SUM(D13:D13)</f>
        <v>480303030</v>
      </c>
      <c r="E14" s="1872">
        <f t="shared" si="1"/>
        <v>0</v>
      </c>
      <c r="F14" s="1859">
        <f t="shared" si="1"/>
        <v>74242424</v>
      </c>
      <c r="G14" s="1859">
        <f t="shared" si="1"/>
        <v>74242424</v>
      </c>
      <c r="H14" s="1865">
        <f t="shared" si="1"/>
        <v>74242424</v>
      </c>
      <c r="I14" s="1865">
        <f t="shared" si="1"/>
        <v>74242424</v>
      </c>
      <c r="J14" s="1865">
        <f t="shared" si="1"/>
        <v>222727274</v>
      </c>
      <c r="K14" s="1865">
        <f t="shared" si="1"/>
        <v>445454546</v>
      </c>
      <c r="L14" s="1865">
        <f t="shared" si="1"/>
        <v>1000000000</v>
      </c>
    </row>
    <row r="15" spans="1:14" s="184" customFormat="1" ht="30.75" x14ac:dyDescent="0.25">
      <c r="A15" s="1873">
        <v>8</v>
      </c>
      <c r="B15" s="1874" t="s">
        <v>1257</v>
      </c>
      <c r="C15" s="1875">
        <v>2014</v>
      </c>
      <c r="D15" s="1876">
        <v>83031537</v>
      </c>
      <c r="E15" s="1876">
        <v>0</v>
      </c>
      <c r="F15" s="1859">
        <v>12753405</v>
      </c>
      <c r="G15" s="1859">
        <v>10758758</v>
      </c>
      <c r="H15" s="1877">
        <v>8801646</v>
      </c>
      <c r="I15" s="1877">
        <v>6844533</v>
      </c>
      <c r="J15" s="1878">
        <v>8807008</v>
      </c>
      <c r="K15" s="1878">
        <f>G15+H15+I15+J15</f>
        <v>35211945</v>
      </c>
      <c r="L15" s="1872">
        <f>D15+E15+F15+K15</f>
        <v>130996887</v>
      </c>
      <c r="M15" s="1879"/>
      <c r="N15" s="580">
        <f>I15+J15</f>
        <v>15651541</v>
      </c>
    </row>
    <row r="16" spans="1:14" ht="15.75" x14ac:dyDescent="0.25">
      <c r="A16" s="1856">
        <v>9</v>
      </c>
      <c r="B16" s="1870" t="s">
        <v>1307</v>
      </c>
      <c r="C16" s="1871"/>
      <c r="D16" s="1865">
        <f t="shared" ref="D16:L16" si="2">SUM(D15:D15)</f>
        <v>83031537</v>
      </c>
      <c r="E16" s="1865">
        <f t="shared" si="2"/>
        <v>0</v>
      </c>
      <c r="F16" s="1880">
        <f t="shared" si="2"/>
        <v>12753405</v>
      </c>
      <c r="G16" s="1880">
        <f t="shared" si="2"/>
        <v>10758758</v>
      </c>
      <c r="H16" s="1865">
        <f t="shared" si="2"/>
        <v>8801646</v>
      </c>
      <c r="I16" s="1865">
        <f t="shared" si="2"/>
        <v>6844533</v>
      </c>
      <c r="J16" s="1865">
        <f t="shared" si="2"/>
        <v>8807008</v>
      </c>
      <c r="K16" s="1865">
        <f t="shared" si="2"/>
        <v>35211945</v>
      </c>
      <c r="L16" s="1865">
        <f t="shared" si="2"/>
        <v>130996887</v>
      </c>
      <c r="M16" s="639">
        <f>SUM(F16+K16)</f>
        <v>47965350</v>
      </c>
    </row>
    <row r="17" spans="1:12" ht="15.75" x14ac:dyDescent="0.25">
      <c r="A17" s="1856">
        <v>10</v>
      </c>
      <c r="B17" s="1866"/>
      <c r="C17" s="1867"/>
      <c r="D17" s="1861"/>
      <c r="E17" s="1861"/>
      <c r="F17" s="1859"/>
      <c r="G17" s="1859"/>
      <c r="H17" s="1862"/>
      <c r="I17" s="1862"/>
      <c r="J17" s="1869"/>
      <c r="K17" s="1862"/>
      <c r="L17" s="1861"/>
    </row>
    <row r="18" spans="1:12" ht="35.25" customHeight="1" x14ac:dyDescent="0.25">
      <c r="A18" s="1856">
        <v>11</v>
      </c>
      <c r="B18" s="1870" t="s">
        <v>1308</v>
      </c>
      <c r="C18" s="1871"/>
      <c r="D18" s="1865">
        <f t="shared" ref="D18:L18" si="3">SUM(D17)</f>
        <v>0</v>
      </c>
      <c r="E18" s="1865">
        <f t="shared" si="3"/>
        <v>0</v>
      </c>
      <c r="F18" s="1859">
        <f t="shared" si="3"/>
        <v>0</v>
      </c>
      <c r="G18" s="1859"/>
      <c r="H18" s="1865"/>
      <c r="I18" s="1865"/>
      <c r="J18" s="1865">
        <f t="shared" si="3"/>
        <v>0</v>
      </c>
      <c r="K18" s="1865">
        <f t="shared" si="3"/>
        <v>0</v>
      </c>
      <c r="L18" s="1865">
        <f t="shared" si="3"/>
        <v>0</v>
      </c>
    </row>
    <row r="19" spans="1:12" ht="15.75" x14ac:dyDescent="0.25">
      <c r="A19" s="1856">
        <v>12</v>
      </c>
      <c r="B19" s="1866"/>
      <c r="C19" s="1867"/>
      <c r="D19" s="1861"/>
      <c r="E19" s="1861"/>
      <c r="F19" s="1859"/>
      <c r="G19" s="1859"/>
      <c r="H19" s="1862"/>
      <c r="I19" s="1862"/>
      <c r="J19" s="1869"/>
      <c r="K19" s="1862"/>
      <c r="L19" s="1861"/>
    </row>
    <row r="20" spans="1:12" ht="33.75" customHeight="1" x14ac:dyDescent="0.2">
      <c r="A20" s="1856">
        <v>13</v>
      </c>
      <c r="B20" s="1857" t="s">
        <v>1309</v>
      </c>
      <c r="C20" s="1856"/>
      <c r="D20" s="1858">
        <f t="shared" ref="D20:L20" si="4">SUM(D19)</f>
        <v>0</v>
      </c>
      <c r="E20" s="1858">
        <f t="shared" si="4"/>
        <v>0</v>
      </c>
      <c r="F20" s="1859">
        <f t="shared" si="4"/>
        <v>0</v>
      </c>
      <c r="G20" s="1859">
        <f t="shared" si="4"/>
        <v>0</v>
      </c>
      <c r="H20" s="1858"/>
      <c r="I20" s="1858"/>
      <c r="J20" s="1858">
        <f t="shared" si="4"/>
        <v>0</v>
      </c>
      <c r="K20" s="1858">
        <f t="shared" si="4"/>
        <v>0</v>
      </c>
      <c r="L20" s="1858">
        <f t="shared" si="4"/>
        <v>0</v>
      </c>
    </row>
    <row r="21" spans="1:12" s="152" customFormat="1" ht="32.25" customHeight="1" x14ac:dyDescent="0.25">
      <c r="A21" s="1852">
        <v>14</v>
      </c>
      <c r="B21" s="1854" t="s">
        <v>1310</v>
      </c>
      <c r="C21" s="1852"/>
      <c r="D21" s="1881">
        <f t="shared" ref="D21:L21" si="5">SUM(D22:D82)</f>
        <v>823288059</v>
      </c>
      <c r="E21" s="1881">
        <f t="shared" si="5"/>
        <v>367132653</v>
      </c>
      <c r="F21" s="1881">
        <f t="shared" si="5"/>
        <v>897284560</v>
      </c>
      <c r="G21" s="1881">
        <f t="shared" si="5"/>
        <v>375745508</v>
      </c>
      <c r="H21" s="1881">
        <f t="shared" si="5"/>
        <v>51843753</v>
      </c>
      <c r="I21" s="1881">
        <f t="shared" si="5"/>
        <v>26879843</v>
      </c>
      <c r="J21" s="1881">
        <f t="shared" si="5"/>
        <v>277209032</v>
      </c>
      <c r="K21" s="1881">
        <f t="shared" si="5"/>
        <v>730478136</v>
      </c>
      <c r="L21" s="1881">
        <f t="shared" si="5"/>
        <v>2818183408</v>
      </c>
    </row>
    <row r="22" spans="1:12" ht="123.75" customHeight="1" x14ac:dyDescent="0.2">
      <c r="A22" s="1856">
        <v>15</v>
      </c>
      <c r="B22" s="1864" t="s">
        <v>1311</v>
      </c>
      <c r="C22" s="1882" t="s">
        <v>1265</v>
      </c>
      <c r="D22" s="1883">
        <v>24725520</v>
      </c>
      <c r="E22" s="1883">
        <v>0</v>
      </c>
      <c r="F22" s="1859">
        <v>2747280</v>
      </c>
      <c r="G22" s="1859">
        <v>0</v>
      </c>
      <c r="H22" s="1858">
        <v>0</v>
      </c>
      <c r="I22" s="1858">
        <v>0</v>
      </c>
      <c r="J22" s="1862">
        <v>0</v>
      </c>
      <c r="K22" s="1884">
        <f t="shared" ref="K22:K30" si="6">G22+H22+I22+J22</f>
        <v>0</v>
      </c>
      <c r="L22" s="1861">
        <f>D22+E22+F22+K22</f>
        <v>27472800</v>
      </c>
    </row>
    <row r="23" spans="1:12" ht="33.75" customHeight="1" x14ac:dyDescent="0.2">
      <c r="A23" s="1856" t="s">
        <v>1095</v>
      </c>
      <c r="B23" s="1857" t="s">
        <v>344</v>
      </c>
      <c r="C23" s="1856" t="s">
        <v>1096</v>
      </c>
      <c r="D23" s="1858" t="s">
        <v>1097</v>
      </c>
      <c r="E23" s="1858" t="s">
        <v>1098</v>
      </c>
      <c r="F23" s="1859" t="s">
        <v>1099</v>
      </c>
      <c r="G23" s="1859" t="s">
        <v>1100</v>
      </c>
      <c r="H23" s="1858" t="s">
        <v>1101</v>
      </c>
      <c r="I23" s="1858" t="s">
        <v>1102</v>
      </c>
      <c r="J23" s="1858" t="s">
        <v>1103</v>
      </c>
      <c r="K23" s="1858" t="s">
        <v>1104</v>
      </c>
      <c r="L23" s="1858" t="s">
        <v>1105</v>
      </c>
    </row>
    <row r="24" spans="1:12" ht="45" x14ac:dyDescent="0.2">
      <c r="A24" s="1856">
        <v>16</v>
      </c>
      <c r="B24" s="1857" t="s">
        <v>1312</v>
      </c>
      <c r="C24" s="1860" t="s">
        <v>1265</v>
      </c>
      <c r="D24" s="1858">
        <v>22015525</v>
      </c>
      <c r="E24" s="1858">
        <v>1307892</v>
      </c>
      <c r="F24" s="1859">
        <v>2380840</v>
      </c>
      <c r="G24" s="1859">
        <v>2380840</v>
      </c>
      <c r="H24" s="1858">
        <v>2380840</v>
      </c>
      <c r="I24" s="1858">
        <v>2380840</v>
      </c>
      <c r="J24" s="1858">
        <v>104756960</v>
      </c>
      <c r="K24" s="1858">
        <f>G24+H24+I24+J24</f>
        <v>111899480</v>
      </c>
      <c r="L24" s="1858">
        <f>D24+E24+F24+K24</f>
        <v>137603737</v>
      </c>
    </row>
    <row r="25" spans="1:12" ht="45" x14ac:dyDescent="0.2">
      <c r="A25" s="1856">
        <v>17</v>
      </c>
      <c r="B25" s="1885" t="s">
        <v>1313</v>
      </c>
      <c r="C25" s="1882">
        <v>2009</v>
      </c>
      <c r="D25" s="1858">
        <v>13467606</v>
      </c>
      <c r="E25" s="1858">
        <v>1496398</v>
      </c>
      <c r="F25" s="1859">
        <v>0</v>
      </c>
      <c r="G25" s="1859">
        <v>0</v>
      </c>
      <c r="H25" s="1858"/>
      <c r="I25" s="1858"/>
      <c r="J25" s="1862">
        <v>0</v>
      </c>
      <c r="K25" s="1877">
        <f t="shared" si="6"/>
        <v>0</v>
      </c>
      <c r="L25" s="1861">
        <f t="shared" ref="L25:L27" si="7">D25+E25+F25+K25</f>
        <v>14964004</v>
      </c>
    </row>
    <row r="26" spans="1:12" ht="45" x14ac:dyDescent="0.2">
      <c r="A26" s="1856">
        <v>18</v>
      </c>
      <c r="B26" s="1885" t="s">
        <v>1314</v>
      </c>
      <c r="C26" s="1882">
        <v>2009</v>
      </c>
      <c r="D26" s="1858">
        <v>14303354</v>
      </c>
      <c r="E26" s="1858">
        <v>1589260</v>
      </c>
      <c r="F26" s="1859">
        <v>0</v>
      </c>
      <c r="G26" s="1859">
        <v>0</v>
      </c>
      <c r="H26" s="1858">
        <v>0</v>
      </c>
      <c r="I26" s="1858"/>
      <c r="J26" s="1862">
        <v>0</v>
      </c>
      <c r="K26" s="1877">
        <f t="shared" si="6"/>
        <v>0</v>
      </c>
      <c r="L26" s="1861">
        <f t="shared" si="7"/>
        <v>15892614</v>
      </c>
    </row>
    <row r="27" spans="1:12" ht="45" x14ac:dyDescent="0.2">
      <c r="A27" s="1856">
        <v>19</v>
      </c>
      <c r="B27" s="1885" t="s">
        <v>1315</v>
      </c>
      <c r="C27" s="1882" t="s">
        <v>1316</v>
      </c>
      <c r="D27" s="1858">
        <v>13488848</v>
      </c>
      <c r="E27" s="1858">
        <v>1498760</v>
      </c>
      <c r="F27" s="1859">
        <v>0</v>
      </c>
      <c r="G27" s="1859">
        <v>0</v>
      </c>
      <c r="H27" s="1858">
        <v>0</v>
      </c>
      <c r="I27" s="1858"/>
      <c r="J27" s="1862">
        <v>0</v>
      </c>
      <c r="K27" s="1877">
        <f t="shared" si="6"/>
        <v>0</v>
      </c>
      <c r="L27" s="1861">
        <f t="shared" si="7"/>
        <v>14987608</v>
      </c>
    </row>
    <row r="28" spans="1:12" s="1892" customFormat="1" ht="30" x14ac:dyDescent="0.2">
      <c r="A28" s="1886">
        <v>20</v>
      </c>
      <c r="B28" s="1887" t="s">
        <v>1317</v>
      </c>
      <c r="C28" s="1888">
        <v>2011</v>
      </c>
      <c r="D28" s="1889">
        <v>2400000</v>
      </c>
      <c r="E28" s="1889">
        <v>8400000</v>
      </c>
      <c r="F28" s="1889">
        <v>1200000</v>
      </c>
      <c r="G28" s="1889">
        <v>0</v>
      </c>
      <c r="H28" s="1889">
        <v>0</v>
      </c>
      <c r="I28" s="1889">
        <v>0</v>
      </c>
      <c r="J28" s="1890">
        <v>0</v>
      </c>
      <c r="K28" s="1890">
        <f t="shared" si="6"/>
        <v>0</v>
      </c>
      <c r="L28" s="1891">
        <f>D28+E28+F28+K28</f>
        <v>12000000</v>
      </c>
    </row>
    <row r="29" spans="1:12" ht="90" x14ac:dyDescent="0.2">
      <c r="A29" s="1856">
        <v>21</v>
      </c>
      <c r="B29" s="1864" t="s">
        <v>1318</v>
      </c>
      <c r="C29" s="1893">
        <v>2013</v>
      </c>
      <c r="D29" s="1861">
        <v>7200000</v>
      </c>
      <c r="E29" s="1861"/>
      <c r="F29" s="1859">
        <v>1200000</v>
      </c>
      <c r="G29" s="1859">
        <v>1200000</v>
      </c>
      <c r="H29" s="1862">
        <v>1200000</v>
      </c>
      <c r="I29" s="1862">
        <v>1200000</v>
      </c>
      <c r="J29" s="1862">
        <v>1200000</v>
      </c>
      <c r="K29" s="1877">
        <v>3600000</v>
      </c>
      <c r="L29" s="1876">
        <f t="shared" ref="L29:L56" si="8">D29+E29+F29+K29</f>
        <v>12000000</v>
      </c>
    </row>
    <row r="30" spans="1:12" ht="75" x14ac:dyDescent="0.2">
      <c r="A30" s="1856">
        <v>22</v>
      </c>
      <c r="B30" s="1864" t="s">
        <v>1319</v>
      </c>
      <c r="C30" s="1893">
        <v>2014</v>
      </c>
      <c r="D30" s="1861">
        <v>56000000</v>
      </c>
      <c r="E30" s="1861">
        <v>0</v>
      </c>
      <c r="F30" s="1859">
        <v>4000000</v>
      </c>
      <c r="G30" s="1859">
        <v>0</v>
      </c>
      <c r="H30" s="1862">
        <v>0</v>
      </c>
      <c r="I30" s="1862">
        <v>0</v>
      </c>
      <c r="J30" s="1862">
        <v>0</v>
      </c>
      <c r="K30" s="1877">
        <f t="shared" si="6"/>
        <v>0</v>
      </c>
      <c r="L30" s="1876">
        <f t="shared" si="8"/>
        <v>60000000</v>
      </c>
    </row>
    <row r="31" spans="1:12" ht="75" x14ac:dyDescent="0.2">
      <c r="A31" s="1856">
        <v>23</v>
      </c>
      <c r="B31" s="1864" t="s">
        <v>1319</v>
      </c>
      <c r="C31" s="1893">
        <v>2015</v>
      </c>
      <c r="D31" s="1861">
        <v>30000000</v>
      </c>
      <c r="E31" s="1861"/>
      <c r="F31" s="1859">
        <v>6000000</v>
      </c>
      <c r="G31" s="1859">
        <v>8000000</v>
      </c>
      <c r="H31" s="1862">
        <v>8000000</v>
      </c>
      <c r="I31" s="1862">
        <v>8000000</v>
      </c>
      <c r="J31" s="1862">
        <v>26000000</v>
      </c>
      <c r="K31" s="1877">
        <f>G31+H31+I31+J31</f>
        <v>50000000</v>
      </c>
      <c r="L31" s="1876">
        <f t="shared" si="8"/>
        <v>86000000</v>
      </c>
    </row>
    <row r="32" spans="1:12" ht="90" x14ac:dyDescent="0.2">
      <c r="A32" s="1856">
        <v>24</v>
      </c>
      <c r="B32" s="1857" t="s">
        <v>1320</v>
      </c>
      <c r="C32" s="1860" t="s">
        <v>1321</v>
      </c>
      <c r="D32" s="1876">
        <v>6000000</v>
      </c>
      <c r="E32" s="1876">
        <v>3000000</v>
      </c>
      <c r="F32" s="1859">
        <v>3000000</v>
      </c>
      <c r="G32" s="1859">
        <v>3000000</v>
      </c>
      <c r="H32" s="1877">
        <v>3000000</v>
      </c>
      <c r="I32" s="1877">
        <v>3000000</v>
      </c>
      <c r="J32" s="1877">
        <v>54000000</v>
      </c>
      <c r="K32" s="1862">
        <f t="shared" ref="K32:K51" si="9">G32+H32+I32+J32</f>
        <v>63000000</v>
      </c>
      <c r="L32" s="1861">
        <f t="shared" si="8"/>
        <v>75000000</v>
      </c>
    </row>
    <row r="33" spans="1:12" ht="60" x14ac:dyDescent="0.2">
      <c r="A33" s="1856">
        <v>25</v>
      </c>
      <c r="B33" s="1857" t="s">
        <v>1322</v>
      </c>
      <c r="C33" s="1856" t="s">
        <v>1321</v>
      </c>
      <c r="D33" s="1858">
        <v>24000000</v>
      </c>
      <c r="E33" s="1858">
        <v>12000000</v>
      </c>
      <c r="F33" s="1859">
        <v>12000000</v>
      </c>
      <c r="G33" s="1859">
        <v>12000000</v>
      </c>
      <c r="H33" s="1858">
        <v>0</v>
      </c>
      <c r="I33" s="1858">
        <v>0</v>
      </c>
      <c r="J33" s="1858">
        <v>0</v>
      </c>
      <c r="K33" s="1858">
        <f t="shared" si="9"/>
        <v>12000000</v>
      </c>
      <c r="L33" s="1858">
        <f t="shared" si="8"/>
        <v>60000000</v>
      </c>
    </row>
    <row r="34" spans="1:12" ht="26.25" customHeight="1" x14ac:dyDescent="0.2">
      <c r="A34" s="1856" t="s">
        <v>1095</v>
      </c>
      <c r="B34" s="1857" t="s">
        <v>344</v>
      </c>
      <c r="C34" s="1856" t="s">
        <v>1096</v>
      </c>
      <c r="D34" s="1858" t="s">
        <v>1097</v>
      </c>
      <c r="E34" s="1858" t="s">
        <v>1098</v>
      </c>
      <c r="F34" s="1859" t="s">
        <v>1099</v>
      </c>
      <c r="G34" s="1859" t="s">
        <v>1100</v>
      </c>
      <c r="H34" s="1858" t="s">
        <v>1101</v>
      </c>
      <c r="I34" s="1858" t="s">
        <v>1102</v>
      </c>
      <c r="J34" s="1858" t="s">
        <v>1103</v>
      </c>
      <c r="K34" s="1858" t="s">
        <v>1104</v>
      </c>
      <c r="L34" s="1858" t="s">
        <v>1105</v>
      </c>
    </row>
    <row r="35" spans="1:12" ht="90" x14ac:dyDescent="0.2">
      <c r="A35" s="1856">
        <v>26</v>
      </c>
      <c r="B35" s="1857" t="s">
        <v>1323</v>
      </c>
      <c r="C35" s="1856" t="s">
        <v>1321</v>
      </c>
      <c r="D35" s="1858">
        <v>6666667</v>
      </c>
      <c r="E35" s="1858"/>
      <c r="F35" s="1859">
        <v>2000000</v>
      </c>
      <c r="G35" s="1859">
        <v>2000000</v>
      </c>
      <c r="H35" s="1858">
        <v>2000000</v>
      </c>
      <c r="I35" s="1858">
        <v>2000000</v>
      </c>
      <c r="J35" s="1858">
        <v>35333333</v>
      </c>
      <c r="K35" s="1862">
        <f t="shared" si="9"/>
        <v>41333333</v>
      </c>
      <c r="L35" s="1861">
        <f t="shared" si="8"/>
        <v>50000000</v>
      </c>
    </row>
    <row r="36" spans="1:12" ht="60" x14ac:dyDescent="0.2">
      <c r="A36" s="1856">
        <v>27</v>
      </c>
      <c r="B36" s="1894" t="s">
        <v>1324</v>
      </c>
      <c r="C36" s="1860" t="s">
        <v>1321</v>
      </c>
      <c r="D36" s="1876">
        <v>0</v>
      </c>
      <c r="E36" s="1876">
        <v>6000000</v>
      </c>
      <c r="F36" s="1859">
        <v>0</v>
      </c>
      <c r="G36" s="1859"/>
      <c r="H36" s="1877"/>
      <c r="I36" s="1877"/>
      <c r="J36" s="1877"/>
      <c r="K36" s="1877">
        <f t="shared" si="9"/>
        <v>0</v>
      </c>
      <c r="L36" s="1876">
        <f t="shared" si="8"/>
        <v>6000000</v>
      </c>
    </row>
    <row r="37" spans="1:12" ht="45" x14ac:dyDescent="0.2">
      <c r="A37" s="1856">
        <v>28</v>
      </c>
      <c r="B37" s="1894" t="s">
        <v>1325</v>
      </c>
      <c r="C37" s="1860" t="s">
        <v>1321</v>
      </c>
      <c r="D37" s="1858">
        <v>178600000</v>
      </c>
      <c r="E37" s="1858"/>
      <c r="F37" s="1859">
        <v>50750000</v>
      </c>
      <c r="G37" s="1859">
        <v>0</v>
      </c>
      <c r="H37" s="1858">
        <v>0</v>
      </c>
      <c r="I37" s="1858">
        <v>0</v>
      </c>
      <c r="J37" s="1858">
        <v>0</v>
      </c>
      <c r="K37" s="1858">
        <f t="shared" si="9"/>
        <v>0</v>
      </c>
      <c r="L37" s="1858">
        <f t="shared" si="8"/>
        <v>229350000</v>
      </c>
    </row>
    <row r="38" spans="1:12" s="184" customFormat="1" ht="60" x14ac:dyDescent="0.2">
      <c r="A38" s="1873">
        <v>29</v>
      </c>
      <c r="B38" s="1895" t="s">
        <v>1326</v>
      </c>
      <c r="C38" s="1860" t="s">
        <v>1327</v>
      </c>
      <c r="D38" s="1859">
        <v>-16916660</v>
      </c>
      <c r="E38" s="1876"/>
      <c r="F38" s="1859">
        <v>-5638890</v>
      </c>
      <c r="G38" s="1859">
        <v>22555555</v>
      </c>
      <c r="H38" s="1877">
        <v>0</v>
      </c>
      <c r="I38" s="1877">
        <v>0</v>
      </c>
      <c r="J38" s="1877">
        <v>0</v>
      </c>
      <c r="K38" s="1877">
        <f t="shared" si="9"/>
        <v>22555555</v>
      </c>
      <c r="L38" s="1859">
        <f t="shared" si="8"/>
        <v>5</v>
      </c>
    </row>
    <row r="39" spans="1:12" s="184" customFormat="1" ht="30.75" customHeight="1" x14ac:dyDescent="0.2">
      <c r="A39" s="1873">
        <v>30</v>
      </c>
      <c r="B39" s="1895" t="s">
        <v>1328</v>
      </c>
      <c r="C39" s="1896"/>
      <c r="D39" s="1859"/>
      <c r="E39" s="1889"/>
      <c r="F39" s="1889">
        <v>6706000</v>
      </c>
      <c r="G39" s="1859"/>
      <c r="H39" s="1859"/>
      <c r="I39" s="1859"/>
      <c r="J39" s="1859"/>
      <c r="K39" s="1859">
        <f t="shared" si="9"/>
        <v>0</v>
      </c>
      <c r="L39" s="1859">
        <f t="shared" si="8"/>
        <v>6706000</v>
      </c>
    </row>
    <row r="40" spans="1:12" ht="45" x14ac:dyDescent="0.2">
      <c r="A40" s="1856">
        <v>31</v>
      </c>
      <c r="B40" s="1864" t="s">
        <v>1329</v>
      </c>
      <c r="C40" s="1893" t="s">
        <v>1327</v>
      </c>
      <c r="D40" s="1861">
        <v>3468600</v>
      </c>
      <c r="E40" s="1861"/>
      <c r="F40" s="1859">
        <v>1156200</v>
      </c>
      <c r="G40" s="1859">
        <v>1156200</v>
      </c>
      <c r="H40" s="1862">
        <v>0</v>
      </c>
      <c r="I40" s="1862">
        <v>0</v>
      </c>
      <c r="J40" s="1862">
        <v>0</v>
      </c>
      <c r="K40" s="1862">
        <f t="shared" si="9"/>
        <v>1156200</v>
      </c>
      <c r="L40" s="1861">
        <f t="shared" si="8"/>
        <v>5781000</v>
      </c>
    </row>
    <row r="41" spans="1:12" ht="90" x14ac:dyDescent="0.2">
      <c r="A41" s="1856">
        <v>32</v>
      </c>
      <c r="B41" s="1864" t="s">
        <v>1330</v>
      </c>
      <c r="C41" s="1893" t="s">
        <v>1327</v>
      </c>
      <c r="D41" s="1858">
        <v>270000</v>
      </c>
      <c r="E41" s="1861"/>
      <c r="F41" s="1859">
        <v>135000</v>
      </c>
      <c r="G41" s="1859">
        <v>135000</v>
      </c>
      <c r="H41" s="1862">
        <v>135000</v>
      </c>
      <c r="I41" s="1862">
        <v>135000</v>
      </c>
      <c r="J41" s="1862">
        <v>0</v>
      </c>
      <c r="K41" s="1862">
        <f t="shared" si="9"/>
        <v>405000</v>
      </c>
      <c r="L41" s="1861">
        <f t="shared" si="8"/>
        <v>810000</v>
      </c>
    </row>
    <row r="42" spans="1:12" ht="45" x14ac:dyDescent="0.2">
      <c r="A42" s="1856">
        <v>33</v>
      </c>
      <c r="B42" s="1895" t="s">
        <v>1331</v>
      </c>
      <c r="C42" s="1873" t="s">
        <v>1327</v>
      </c>
      <c r="D42" s="1859"/>
      <c r="E42" s="1876"/>
      <c r="F42" s="1889">
        <v>40000000</v>
      </c>
      <c r="G42" s="1889">
        <v>160000000</v>
      </c>
      <c r="H42" s="1877"/>
      <c r="I42" s="1877"/>
      <c r="J42" s="1877"/>
      <c r="K42" s="1851">
        <f t="shared" si="9"/>
        <v>160000000</v>
      </c>
      <c r="L42" s="1859">
        <f t="shared" si="8"/>
        <v>200000000</v>
      </c>
    </row>
    <row r="43" spans="1:12" ht="45" x14ac:dyDescent="0.2">
      <c r="A43" s="1856">
        <v>34</v>
      </c>
      <c r="B43" s="1864" t="s">
        <v>1332</v>
      </c>
      <c r="C43" s="1893" t="s">
        <v>1327</v>
      </c>
      <c r="D43" s="1858">
        <v>210000</v>
      </c>
      <c r="E43" s="1861">
        <v>210000</v>
      </c>
      <c r="F43" s="1859">
        <v>210000</v>
      </c>
      <c r="G43" s="1859">
        <v>210000</v>
      </c>
      <c r="H43" s="1862">
        <v>210000</v>
      </c>
      <c r="I43" s="1862">
        <v>210000</v>
      </c>
      <c r="J43" s="1862">
        <v>0</v>
      </c>
      <c r="K43" s="1862">
        <f t="shared" si="9"/>
        <v>630000</v>
      </c>
      <c r="L43" s="1861">
        <f t="shared" si="8"/>
        <v>1260000</v>
      </c>
    </row>
    <row r="44" spans="1:12" ht="45" x14ac:dyDescent="0.2">
      <c r="A44" s="1856">
        <v>35</v>
      </c>
      <c r="B44" s="1864" t="s">
        <v>1333</v>
      </c>
      <c r="C44" s="1893" t="s">
        <v>1327</v>
      </c>
      <c r="D44" s="1858">
        <v>210000</v>
      </c>
      <c r="E44" s="1861">
        <v>210000</v>
      </c>
      <c r="F44" s="1859">
        <v>210000</v>
      </c>
      <c r="G44" s="1859">
        <v>210000</v>
      </c>
      <c r="H44" s="1862">
        <v>210000</v>
      </c>
      <c r="I44" s="1862">
        <v>210000</v>
      </c>
      <c r="J44" s="1862">
        <v>0</v>
      </c>
      <c r="K44" s="1858">
        <f t="shared" si="9"/>
        <v>630000</v>
      </c>
      <c r="L44" s="1858">
        <f t="shared" si="8"/>
        <v>1260000</v>
      </c>
    </row>
    <row r="45" spans="1:12" ht="45" x14ac:dyDescent="0.2">
      <c r="A45" s="1856">
        <v>36</v>
      </c>
      <c r="B45" s="1864" t="s">
        <v>1334</v>
      </c>
      <c r="C45" s="1893" t="s">
        <v>1327</v>
      </c>
      <c r="D45" s="1858">
        <v>360000</v>
      </c>
      <c r="E45" s="1858">
        <v>0</v>
      </c>
      <c r="F45" s="1859">
        <v>180000</v>
      </c>
      <c r="G45" s="1859">
        <v>180000</v>
      </c>
      <c r="H45" s="1858">
        <v>180000</v>
      </c>
      <c r="I45" s="1858">
        <v>180000</v>
      </c>
      <c r="J45" s="1858">
        <v>0</v>
      </c>
      <c r="K45" s="1858">
        <f t="shared" si="9"/>
        <v>540000</v>
      </c>
      <c r="L45" s="1858">
        <f t="shared" si="8"/>
        <v>1080000</v>
      </c>
    </row>
    <row r="46" spans="1:12" ht="45" x14ac:dyDescent="0.2">
      <c r="A46" s="1856">
        <v>37</v>
      </c>
      <c r="B46" s="1864" t="s">
        <v>1335</v>
      </c>
      <c r="C46" s="1893" t="s">
        <v>1327</v>
      </c>
      <c r="D46" s="1858">
        <v>240000</v>
      </c>
      <c r="E46" s="1858"/>
      <c r="F46" s="1859">
        <v>120000</v>
      </c>
      <c r="G46" s="1859">
        <v>120000</v>
      </c>
      <c r="H46" s="1858">
        <v>120000</v>
      </c>
      <c r="I46" s="1858">
        <v>120000</v>
      </c>
      <c r="J46" s="1858">
        <v>0</v>
      </c>
      <c r="K46" s="1858">
        <f>G46+H46+I46+J46</f>
        <v>360000</v>
      </c>
      <c r="L46" s="1858">
        <f>D46+E46+F46+K46</f>
        <v>720000</v>
      </c>
    </row>
    <row r="47" spans="1:12" ht="28.5" customHeight="1" x14ac:dyDescent="0.2">
      <c r="A47" s="1856" t="s">
        <v>1095</v>
      </c>
      <c r="B47" s="1857" t="s">
        <v>344</v>
      </c>
      <c r="C47" s="1856" t="s">
        <v>1096</v>
      </c>
      <c r="D47" s="1858" t="s">
        <v>1097</v>
      </c>
      <c r="E47" s="1858" t="s">
        <v>1098</v>
      </c>
      <c r="F47" s="1859" t="s">
        <v>1099</v>
      </c>
      <c r="G47" s="1859" t="s">
        <v>1100</v>
      </c>
      <c r="H47" s="1858" t="s">
        <v>1101</v>
      </c>
      <c r="I47" s="1858" t="s">
        <v>1102</v>
      </c>
      <c r="J47" s="1858" t="s">
        <v>1103</v>
      </c>
      <c r="K47" s="1858" t="s">
        <v>1104</v>
      </c>
      <c r="L47" s="1858" t="s">
        <v>1105</v>
      </c>
    </row>
    <row r="48" spans="1:12" ht="30" x14ac:dyDescent="0.2">
      <c r="A48" s="1856">
        <v>38</v>
      </c>
      <c r="B48" s="1864" t="s">
        <v>1336</v>
      </c>
      <c r="C48" s="1893">
        <v>2017</v>
      </c>
      <c r="D48" s="1858">
        <v>11918739</v>
      </c>
      <c r="E48" s="1858"/>
      <c r="F48" s="1859">
        <v>3972913</v>
      </c>
      <c r="G48" s="1859">
        <v>3972913</v>
      </c>
      <c r="H48" s="1858">
        <v>3972913</v>
      </c>
      <c r="I48" s="1858">
        <v>3972913</v>
      </c>
      <c r="J48" s="1858">
        <v>11918739</v>
      </c>
      <c r="K48" s="1858">
        <f>G48+H48+I48+J48</f>
        <v>23837478</v>
      </c>
      <c r="L48" s="1858">
        <f>D48+E48+F48+K48</f>
        <v>39729130</v>
      </c>
    </row>
    <row r="49" spans="1:14" ht="60" x14ac:dyDescent="0.2">
      <c r="A49" s="1856">
        <v>39</v>
      </c>
      <c r="B49" s="1894" t="s">
        <v>1337</v>
      </c>
      <c r="C49" s="1860">
        <v>2018</v>
      </c>
      <c r="D49" s="1859">
        <v>92700000</v>
      </c>
      <c r="E49" s="1859">
        <v>40848840</v>
      </c>
      <c r="F49" s="1859">
        <v>0</v>
      </c>
      <c r="G49" s="1859">
        <v>0</v>
      </c>
      <c r="H49" s="1859"/>
      <c r="I49" s="1859"/>
      <c r="J49" s="1859"/>
      <c r="K49" s="1859">
        <f t="shared" si="9"/>
        <v>0</v>
      </c>
      <c r="L49" s="1859">
        <f t="shared" si="8"/>
        <v>133548840</v>
      </c>
    </row>
    <row r="50" spans="1:14" ht="60" x14ac:dyDescent="0.2">
      <c r="A50" s="1856">
        <v>40</v>
      </c>
      <c r="B50" s="1864" t="s">
        <v>1338</v>
      </c>
      <c r="C50" s="1856" t="s">
        <v>1266</v>
      </c>
      <c r="D50" s="1858">
        <v>15124088</v>
      </c>
      <c r="E50" s="1858">
        <v>0</v>
      </c>
      <c r="F50" s="1859">
        <v>9848088</v>
      </c>
      <c r="G50" s="1859">
        <v>10795000</v>
      </c>
      <c r="H50" s="1858">
        <v>10795000</v>
      </c>
      <c r="I50" s="1858">
        <v>0</v>
      </c>
      <c r="J50" s="1858">
        <v>0</v>
      </c>
      <c r="K50" s="1858">
        <f t="shared" si="9"/>
        <v>21590000</v>
      </c>
      <c r="L50" s="1858">
        <f t="shared" si="8"/>
        <v>46562176</v>
      </c>
    </row>
    <row r="51" spans="1:14" ht="45" x14ac:dyDescent="0.2">
      <c r="A51" s="1856">
        <v>41</v>
      </c>
      <c r="B51" s="1864" t="s">
        <v>1339</v>
      </c>
      <c r="C51" s="1893" t="s">
        <v>1266</v>
      </c>
      <c r="D51" s="1858">
        <v>0</v>
      </c>
      <c r="E51" s="1858">
        <v>2000000</v>
      </c>
      <c r="F51" s="1859">
        <v>1000000</v>
      </c>
      <c r="G51" s="1859">
        <v>1000000</v>
      </c>
      <c r="H51" s="1858">
        <v>1000000</v>
      </c>
      <c r="I51" s="1858">
        <v>1000000</v>
      </c>
      <c r="J51" s="1858">
        <v>44000000</v>
      </c>
      <c r="K51" s="1858">
        <f t="shared" si="9"/>
        <v>47000000</v>
      </c>
      <c r="L51" s="1858">
        <f t="shared" si="8"/>
        <v>50000000</v>
      </c>
    </row>
    <row r="52" spans="1:14" ht="93.75" customHeight="1" x14ac:dyDescent="0.2">
      <c r="A52" s="1856">
        <v>42</v>
      </c>
      <c r="B52" s="1864" t="s">
        <v>1340</v>
      </c>
      <c r="C52" s="1893">
        <v>2018</v>
      </c>
      <c r="D52" s="1858">
        <v>0</v>
      </c>
      <c r="E52" s="1858"/>
      <c r="F52" s="1859">
        <v>73660000</v>
      </c>
      <c r="G52" s="1859">
        <v>73660000</v>
      </c>
      <c r="H52" s="1858"/>
      <c r="I52" s="1858"/>
      <c r="J52" s="1858"/>
      <c r="K52" s="1858">
        <f>G52+H52+I52+J52</f>
        <v>73660000</v>
      </c>
      <c r="L52" s="1858">
        <f t="shared" si="8"/>
        <v>147320000</v>
      </c>
    </row>
    <row r="53" spans="1:14" ht="127.5" customHeight="1" x14ac:dyDescent="0.2">
      <c r="A53" s="1856">
        <v>43</v>
      </c>
      <c r="B53" s="1864" t="s">
        <v>1341</v>
      </c>
      <c r="C53" s="1893" t="s">
        <v>1266</v>
      </c>
      <c r="D53" s="1858">
        <v>0</v>
      </c>
      <c r="E53" s="1858">
        <v>88077500</v>
      </c>
      <c r="F53" s="1859">
        <v>0</v>
      </c>
      <c r="G53" s="1859">
        <v>0</v>
      </c>
      <c r="H53" s="1858"/>
      <c r="I53" s="1858"/>
      <c r="J53" s="1858"/>
      <c r="K53" s="1858">
        <f>G53+H53+I53+J53</f>
        <v>0</v>
      </c>
      <c r="L53" s="1858">
        <f t="shared" si="8"/>
        <v>88077500</v>
      </c>
    </row>
    <row r="54" spans="1:14" ht="127.5" customHeight="1" x14ac:dyDescent="0.2">
      <c r="A54" s="1856">
        <v>44</v>
      </c>
      <c r="B54" s="1894" t="s">
        <v>1342</v>
      </c>
      <c r="C54" s="1860" t="s">
        <v>1266</v>
      </c>
      <c r="D54" s="1859">
        <v>1306167</v>
      </c>
      <c r="E54" s="1859">
        <v>0</v>
      </c>
      <c r="F54" s="1859">
        <v>17951191</v>
      </c>
      <c r="G54" s="1859">
        <v>0</v>
      </c>
      <c r="H54" s="1859">
        <v>0</v>
      </c>
      <c r="I54" s="1859"/>
      <c r="J54" s="1859"/>
      <c r="K54" s="1859">
        <f t="shared" ref="K54:K82" si="10">G54+H54+I54+J54</f>
        <v>0</v>
      </c>
      <c r="L54" s="1859">
        <f t="shared" si="8"/>
        <v>19257358</v>
      </c>
    </row>
    <row r="55" spans="1:14" ht="60" x14ac:dyDescent="0.2">
      <c r="A55" s="1856">
        <v>45</v>
      </c>
      <c r="B55" s="1864" t="s">
        <v>1343</v>
      </c>
      <c r="C55" s="1860" t="s">
        <v>1266</v>
      </c>
      <c r="D55" s="1859">
        <v>10287000</v>
      </c>
      <c r="E55" s="1859">
        <v>762000</v>
      </c>
      <c r="F55" s="1859">
        <v>0</v>
      </c>
      <c r="G55" s="1859">
        <v>0</v>
      </c>
      <c r="H55" s="1859"/>
      <c r="I55" s="1859"/>
      <c r="J55" s="1859"/>
      <c r="K55" s="1859">
        <f t="shared" si="10"/>
        <v>0</v>
      </c>
      <c r="L55" s="1859">
        <f t="shared" si="8"/>
        <v>11049000</v>
      </c>
      <c r="M55" s="1005"/>
      <c r="N55" s="1005"/>
    </row>
    <row r="56" spans="1:14" ht="106.5" customHeight="1" x14ac:dyDescent="0.2">
      <c r="A56" s="1856">
        <v>46</v>
      </c>
      <c r="B56" s="1864" t="s">
        <v>1344</v>
      </c>
      <c r="C56" s="1893" t="s">
        <v>1266</v>
      </c>
      <c r="D56" s="1858">
        <v>3564000</v>
      </c>
      <c r="E56" s="1858">
        <v>0</v>
      </c>
      <c r="F56" s="1859">
        <v>2640000</v>
      </c>
      <c r="G56" s="1859">
        <v>2640000</v>
      </c>
      <c r="H56" s="1858">
        <v>2640000</v>
      </c>
      <c r="I56" s="1858">
        <v>0</v>
      </c>
      <c r="J56" s="1858">
        <v>0</v>
      </c>
      <c r="K56" s="1858">
        <f t="shared" si="10"/>
        <v>5280000</v>
      </c>
      <c r="L56" s="1858">
        <f t="shared" si="8"/>
        <v>11484000</v>
      </c>
    </row>
    <row r="57" spans="1:14" ht="40.5" customHeight="1" x14ac:dyDescent="0.2">
      <c r="A57" s="1856" t="s">
        <v>1095</v>
      </c>
      <c r="B57" s="1857" t="s">
        <v>344</v>
      </c>
      <c r="C57" s="1856" t="s">
        <v>1096</v>
      </c>
      <c r="D57" s="1858" t="s">
        <v>1097</v>
      </c>
      <c r="E57" s="1858" t="s">
        <v>1098</v>
      </c>
      <c r="F57" s="1859" t="s">
        <v>1099</v>
      </c>
      <c r="G57" s="1859" t="s">
        <v>1100</v>
      </c>
      <c r="H57" s="1858" t="s">
        <v>1101</v>
      </c>
      <c r="I57" s="1858" t="s">
        <v>1102</v>
      </c>
      <c r="J57" s="1858" t="s">
        <v>1103</v>
      </c>
      <c r="K57" s="1858" t="s">
        <v>1104</v>
      </c>
      <c r="L57" s="1858" t="s">
        <v>1105</v>
      </c>
    </row>
    <row r="58" spans="1:14" s="1897" customFormat="1" ht="145.5" customHeight="1" x14ac:dyDescent="0.25">
      <c r="A58" s="1856">
        <v>47</v>
      </c>
      <c r="B58" s="1864" t="s">
        <v>1345</v>
      </c>
      <c r="C58" s="1893" t="s">
        <v>1266</v>
      </c>
      <c r="D58" s="1858">
        <v>54713713</v>
      </c>
      <c r="E58" s="1858"/>
      <c r="F58" s="1859">
        <v>0</v>
      </c>
      <c r="G58" s="1859">
        <v>0</v>
      </c>
      <c r="H58" s="1858">
        <v>0</v>
      </c>
      <c r="I58" s="1858"/>
      <c r="J58" s="1858"/>
      <c r="K58" s="1858">
        <f t="shared" si="10"/>
        <v>0</v>
      </c>
      <c r="L58" s="1858">
        <f>D58+E58+F58+K58</f>
        <v>54713713</v>
      </c>
    </row>
    <row r="59" spans="1:14" ht="136.5" customHeight="1" x14ac:dyDescent="0.2">
      <c r="A59" s="1856">
        <v>48</v>
      </c>
      <c r="B59" s="1864" t="s">
        <v>1346</v>
      </c>
      <c r="C59" s="1893" t="s">
        <v>1266</v>
      </c>
      <c r="D59" s="1858">
        <v>46409619</v>
      </c>
      <c r="E59" s="1858"/>
      <c r="F59" s="1859">
        <v>0</v>
      </c>
      <c r="G59" s="1859">
        <v>0</v>
      </c>
      <c r="H59" s="1858"/>
      <c r="I59" s="1858"/>
      <c r="J59" s="1858"/>
      <c r="K59" s="1858">
        <f t="shared" si="10"/>
        <v>0</v>
      </c>
      <c r="L59" s="1858">
        <f>D59+E59+F59+K59</f>
        <v>46409619</v>
      </c>
    </row>
    <row r="60" spans="1:14" ht="105" customHeight="1" x14ac:dyDescent="0.2">
      <c r="A60" s="1856">
        <v>49</v>
      </c>
      <c r="B60" s="1864" t="s">
        <v>1347</v>
      </c>
      <c r="C60" s="1893">
        <v>2018</v>
      </c>
      <c r="D60" s="1858"/>
      <c r="E60" s="1858">
        <v>6751410</v>
      </c>
      <c r="F60" s="1859">
        <v>0</v>
      </c>
      <c r="G60" s="1859">
        <v>0</v>
      </c>
      <c r="H60" s="1858"/>
      <c r="I60" s="1858"/>
      <c r="J60" s="1858"/>
      <c r="K60" s="1858">
        <f t="shared" si="10"/>
        <v>0</v>
      </c>
      <c r="L60" s="1858">
        <f>D60+E60+F60+K60</f>
        <v>6751410</v>
      </c>
    </row>
    <row r="61" spans="1:14" ht="45" x14ac:dyDescent="0.2">
      <c r="A61" s="1856">
        <v>50</v>
      </c>
      <c r="B61" s="1857" t="s">
        <v>1348</v>
      </c>
      <c r="C61" s="1856" t="s">
        <v>1349</v>
      </c>
      <c r="D61" s="1858"/>
      <c r="E61" s="1858">
        <v>48621806</v>
      </c>
      <c r="F61" s="1859">
        <v>49530000</v>
      </c>
      <c r="G61" s="1859">
        <v>49530000</v>
      </c>
      <c r="H61" s="1858">
        <v>0</v>
      </c>
      <c r="I61" s="1858"/>
      <c r="J61" s="1858"/>
      <c r="K61" s="1858">
        <f t="shared" si="10"/>
        <v>49530000</v>
      </c>
      <c r="L61" s="1858">
        <f>D61+E61+F61+K61</f>
        <v>147681806</v>
      </c>
    </row>
    <row r="62" spans="1:14" ht="135" x14ac:dyDescent="0.2">
      <c r="A62" s="1873">
        <v>51</v>
      </c>
      <c r="B62" s="1895" t="s">
        <v>1350</v>
      </c>
      <c r="C62" s="1873" t="s">
        <v>1349</v>
      </c>
      <c r="D62" s="1859"/>
      <c r="E62" s="1859"/>
      <c r="F62" s="1859">
        <v>28800000</v>
      </c>
      <c r="G62" s="1859">
        <v>0</v>
      </c>
      <c r="H62" s="1859"/>
      <c r="I62" s="1859"/>
      <c r="J62" s="1859"/>
      <c r="K62" s="1859">
        <f t="shared" si="10"/>
        <v>0</v>
      </c>
      <c r="L62" s="1859">
        <f t="shared" ref="L62:L71" si="11">D62+E62+F62+K62</f>
        <v>28800000</v>
      </c>
    </row>
    <row r="63" spans="1:14" ht="120" x14ac:dyDescent="0.2">
      <c r="A63" s="1856">
        <v>52</v>
      </c>
      <c r="B63" s="1857" t="s">
        <v>1351</v>
      </c>
      <c r="C63" s="1856" t="s">
        <v>1349</v>
      </c>
      <c r="D63" s="1858"/>
      <c r="E63" s="1858"/>
      <c r="F63" s="1859">
        <v>2430000</v>
      </c>
      <c r="G63" s="1859">
        <v>0</v>
      </c>
      <c r="H63" s="1858"/>
      <c r="I63" s="1858"/>
      <c r="J63" s="1858"/>
      <c r="K63" s="1858">
        <f t="shared" si="10"/>
        <v>0</v>
      </c>
      <c r="L63" s="1858">
        <f t="shared" si="11"/>
        <v>2430000</v>
      </c>
    </row>
    <row r="64" spans="1:14" ht="135" x14ac:dyDescent="0.2">
      <c r="A64" s="1856">
        <v>53</v>
      </c>
      <c r="B64" s="1857" t="s">
        <v>1352</v>
      </c>
      <c r="C64" s="1856" t="s">
        <v>1349</v>
      </c>
      <c r="D64" s="1858"/>
      <c r="E64" s="1858"/>
      <c r="F64" s="1859">
        <v>7744384</v>
      </c>
      <c r="G64" s="1859">
        <v>0</v>
      </c>
      <c r="H64" s="1858"/>
      <c r="I64" s="1858"/>
      <c r="J64" s="1858"/>
      <c r="K64" s="1858">
        <f t="shared" si="10"/>
        <v>0</v>
      </c>
      <c r="L64" s="1858">
        <f t="shared" si="11"/>
        <v>7744384</v>
      </c>
    </row>
    <row r="65" spans="1:13" ht="60" x14ac:dyDescent="0.2">
      <c r="A65" s="1856">
        <v>54</v>
      </c>
      <c r="B65" s="1857" t="s">
        <v>1353</v>
      </c>
      <c r="C65" s="1856" t="s">
        <v>1349</v>
      </c>
      <c r="D65" s="1858">
        <v>8030000</v>
      </c>
      <c r="E65" s="1858">
        <v>43461000</v>
      </c>
      <c r="F65" s="1859">
        <v>187909000</v>
      </c>
      <c r="G65" s="1859">
        <v>0</v>
      </c>
      <c r="H65" s="1858"/>
      <c r="I65" s="1858"/>
      <c r="J65" s="1858"/>
      <c r="K65" s="1858">
        <f t="shared" si="10"/>
        <v>0</v>
      </c>
      <c r="L65" s="1858">
        <f t="shared" si="11"/>
        <v>239400000</v>
      </c>
    </row>
    <row r="66" spans="1:13" ht="42.75" customHeight="1" x14ac:dyDescent="0.2">
      <c r="A66" s="1856" t="s">
        <v>1095</v>
      </c>
      <c r="B66" s="1857" t="s">
        <v>344</v>
      </c>
      <c r="C66" s="1856" t="s">
        <v>1096</v>
      </c>
      <c r="D66" s="1858" t="s">
        <v>1097</v>
      </c>
      <c r="E66" s="1858" t="s">
        <v>1098</v>
      </c>
      <c r="F66" s="1859" t="s">
        <v>1099</v>
      </c>
      <c r="G66" s="1859" t="s">
        <v>1100</v>
      </c>
      <c r="H66" s="1858" t="s">
        <v>1101</v>
      </c>
      <c r="I66" s="1858" t="s">
        <v>1102</v>
      </c>
      <c r="J66" s="1858" t="s">
        <v>1103</v>
      </c>
      <c r="K66" s="1858" t="s">
        <v>1104</v>
      </c>
      <c r="L66" s="1858" t="s">
        <v>1105</v>
      </c>
    </row>
    <row r="67" spans="1:13" ht="288.75" customHeight="1" x14ac:dyDescent="0.2">
      <c r="A67" s="1856">
        <v>55</v>
      </c>
      <c r="B67" s="1857" t="s">
        <v>1354</v>
      </c>
      <c r="C67" s="1856" t="s">
        <v>1349</v>
      </c>
      <c r="D67" s="1858">
        <v>5000000</v>
      </c>
      <c r="E67" s="1858"/>
      <c r="F67" s="1889">
        <v>10000000</v>
      </c>
      <c r="G67" s="1859">
        <v>10000000</v>
      </c>
      <c r="H67" s="1858">
        <v>10000000</v>
      </c>
      <c r="I67" s="1858">
        <v>4471090</v>
      </c>
      <c r="J67" s="1858">
        <v>0</v>
      </c>
      <c r="K67" s="1858">
        <f t="shared" si="10"/>
        <v>24471090</v>
      </c>
      <c r="L67" s="1858">
        <f t="shared" si="11"/>
        <v>39471090</v>
      </c>
    </row>
    <row r="68" spans="1:13" ht="60" x14ac:dyDescent="0.2">
      <c r="A68" s="1856">
        <v>56</v>
      </c>
      <c r="B68" s="1857" t="s">
        <v>1355</v>
      </c>
      <c r="C68" s="1856" t="s">
        <v>1349</v>
      </c>
      <c r="D68" s="1858"/>
      <c r="E68" s="1858">
        <v>10000000</v>
      </c>
      <c r="F68" s="1859">
        <v>10000000</v>
      </c>
      <c r="G68" s="1859">
        <v>0</v>
      </c>
      <c r="H68" s="1858"/>
      <c r="I68" s="1858"/>
      <c r="J68" s="1858"/>
      <c r="K68" s="1858">
        <f t="shared" si="10"/>
        <v>0</v>
      </c>
      <c r="L68" s="1858">
        <f t="shared" si="11"/>
        <v>20000000</v>
      </c>
    </row>
    <row r="69" spans="1:13" ht="135.75" customHeight="1" x14ac:dyDescent="0.2">
      <c r="A69" s="1856">
        <v>57</v>
      </c>
      <c r="B69" s="1857" t="s">
        <v>1356</v>
      </c>
      <c r="C69" s="1856" t="s">
        <v>1349</v>
      </c>
      <c r="D69" s="1858"/>
      <c r="E69" s="1858"/>
      <c r="F69" s="1859">
        <v>71000000</v>
      </c>
      <c r="G69" s="1859">
        <v>0</v>
      </c>
      <c r="H69" s="1858"/>
      <c r="I69" s="1858"/>
      <c r="J69" s="1858"/>
      <c r="K69" s="1858">
        <f t="shared" si="10"/>
        <v>0</v>
      </c>
      <c r="L69" s="1858">
        <f t="shared" si="11"/>
        <v>71000000</v>
      </c>
    </row>
    <row r="70" spans="1:13" ht="107.25" customHeight="1" x14ac:dyDescent="0.2">
      <c r="A70" s="1856">
        <v>58</v>
      </c>
      <c r="B70" s="1857" t="s">
        <v>1357</v>
      </c>
      <c r="C70" s="1856" t="s">
        <v>1349</v>
      </c>
      <c r="D70" s="1858">
        <v>6000000</v>
      </c>
      <c r="E70" s="1858"/>
      <c r="F70" s="1859">
        <v>6000000</v>
      </c>
      <c r="G70" s="1859">
        <v>6000000</v>
      </c>
      <c r="H70" s="1858">
        <v>6000000</v>
      </c>
      <c r="I70" s="1858">
        <v>0</v>
      </c>
      <c r="J70" s="1858"/>
      <c r="K70" s="1858">
        <f t="shared" si="10"/>
        <v>12000000</v>
      </c>
      <c r="L70" s="1858">
        <f t="shared" si="11"/>
        <v>24000000</v>
      </c>
    </row>
    <row r="71" spans="1:13" ht="125.25" customHeight="1" x14ac:dyDescent="0.2">
      <c r="A71" s="1856">
        <v>59</v>
      </c>
      <c r="B71" s="1857" t="s">
        <v>1358</v>
      </c>
      <c r="C71" s="1856" t="s">
        <v>1349</v>
      </c>
      <c r="D71" s="1858">
        <v>5000000</v>
      </c>
      <c r="E71" s="1858"/>
      <c r="F71" s="1859">
        <v>5000000</v>
      </c>
      <c r="G71" s="1859">
        <v>5000000</v>
      </c>
      <c r="H71" s="1858">
        <v>0</v>
      </c>
      <c r="I71" s="1858"/>
      <c r="J71" s="1858"/>
      <c r="K71" s="1858">
        <f t="shared" si="10"/>
        <v>5000000</v>
      </c>
      <c r="L71" s="1858">
        <f t="shared" si="11"/>
        <v>15000000</v>
      </c>
    </row>
    <row r="72" spans="1:13" ht="42.75" customHeight="1" x14ac:dyDescent="0.2">
      <c r="A72" s="1856" t="s">
        <v>1095</v>
      </c>
      <c r="B72" s="1857" t="s">
        <v>344</v>
      </c>
      <c r="C72" s="1856" t="s">
        <v>1096</v>
      </c>
      <c r="D72" s="1858" t="s">
        <v>1097</v>
      </c>
      <c r="E72" s="1858" t="s">
        <v>1098</v>
      </c>
      <c r="F72" s="1859" t="s">
        <v>1099</v>
      </c>
      <c r="G72" s="1859" t="s">
        <v>1100</v>
      </c>
      <c r="H72" s="1858" t="s">
        <v>1101</v>
      </c>
      <c r="I72" s="1858" t="s">
        <v>1102</v>
      </c>
      <c r="J72" s="1858" t="s">
        <v>1103</v>
      </c>
      <c r="K72" s="1858" t="s">
        <v>1104</v>
      </c>
      <c r="L72" s="1858" t="s">
        <v>1105</v>
      </c>
    </row>
    <row r="73" spans="1:13" ht="63.75" customHeight="1" x14ac:dyDescent="0.2">
      <c r="A73" s="1856">
        <v>60</v>
      </c>
      <c r="B73" s="1857" t="s">
        <v>1359</v>
      </c>
      <c r="C73" s="1856" t="s">
        <v>1349</v>
      </c>
      <c r="D73" s="1858">
        <v>500000</v>
      </c>
      <c r="E73" s="1858"/>
      <c r="F73" s="1859">
        <v>500000</v>
      </c>
      <c r="G73" s="1859">
        <v>0</v>
      </c>
      <c r="H73" s="1858"/>
      <c r="I73" s="1858"/>
      <c r="J73" s="1858"/>
      <c r="K73" s="1858">
        <f t="shared" ref="K73" si="12">G73+H73+I73+J73</f>
        <v>0</v>
      </c>
      <c r="L73" s="1858">
        <f t="shared" ref="L73" si="13">D73+E73+F73+K73</f>
        <v>1000000</v>
      </c>
    </row>
    <row r="74" spans="1:13" ht="123.75" customHeight="1" x14ac:dyDescent="0.2">
      <c r="A74" s="1856">
        <v>61</v>
      </c>
      <c r="B74" s="1857" t="s">
        <v>1360</v>
      </c>
      <c r="C74" s="1856" t="s">
        <v>1349</v>
      </c>
      <c r="D74" s="1858">
        <v>86000000</v>
      </c>
      <c r="E74" s="1858"/>
      <c r="F74" s="1859">
        <v>24000000</v>
      </c>
      <c r="G74" s="1898">
        <v>0</v>
      </c>
      <c r="H74" s="1858"/>
      <c r="I74" s="1858"/>
      <c r="J74" s="1858"/>
      <c r="K74" s="1858">
        <f>G74+H74+I74+J74</f>
        <v>0</v>
      </c>
      <c r="L74" s="1858">
        <f>D74+E74+F74+K74</f>
        <v>110000000</v>
      </c>
    </row>
    <row r="75" spans="1:13" ht="80.25" customHeight="1" x14ac:dyDescent="0.2">
      <c r="A75" s="1856">
        <v>62</v>
      </c>
      <c r="B75" s="1857" t="s">
        <v>1361</v>
      </c>
      <c r="C75" s="1856" t="s">
        <v>1349</v>
      </c>
      <c r="D75" s="1858"/>
      <c r="E75" s="1858">
        <v>3149606</v>
      </c>
      <c r="F75" s="1859">
        <v>21240494</v>
      </c>
      <c r="G75" s="1898">
        <v>0</v>
      </c>
      <c r="H75" s="1858"/>
      <c r="I75" s="1858"/>
      <c r="J75" s="1858"/>
      <c r="K75" s="1858">
        <f t="shared" si="10"/>
        <v>0</v>
      </c>
      <c r="L75" s="1858">
        <f>D75+E75+F75+K75</f>
        <v>24390100</v>
      </c>
      <c r="M75" s="639">
        <f>SUM(K74:K75)</f>
        <v>0</v>
      </c>
    </row>
    <row r="76" spans="1:13" s="94" customFormat="1" ht="45" x14ac:dyDescent="0.2">
      <c r="A76" s="1856">
        <v>63</v>
      </c>
      <c r="B76" s="1895" t="s">
        <v>1362</v>
      </c>
      <c r="C76" s="1860" t="s">
        <v>1349</v>
      </c>
      <c r="D76" s="1859">
        <v>11455273</v>
      </c>
      <c r="E76" s="1859">
        <v>54664181</v>
      </c>
      <c r="F76" s="1859">
        <v>30753172</v>
      </c>
      <c r="G76" s="1859">
        <v>0</v>
      </c>
      <c r="H76" s="1859"/>
      <c r="I76" s="1859"/>
      <c r="J76" s="1859"/>
      <c r="K76" s="1859">
        <f t="shared" si="10"/>
        <v>0</v>
      </c>
      <c r="L76" s="1859">
        <f t="shared" ref="L76:L82" si="14">D76+E76+F76+K76</f>
        <v>96872626</v>
      </c>
      <c r="M76" s="1010"/>
    </row>
    <row r="77" spans="1:13" s="94" customFormat="1" ht="60" x14ac:dyDescent="0.2">
      <c r="A77" s="1856">
        <v>64</v>
      </c>
      <c r="B77" s="1857" t="s">
        <v>1363</v>
      </c>
      <c r="C77" s="1893" t="s">
        <v>1349</v>
      </c>
      <c r="D77" s="1858"/>
      <c r="E77" s="1858">
        <v>33084000</v>
      </c>
      <c r="F77" s="1859">
        <v>57142807</v>
      </c>
      <c r="G77" s="1859">
        <v>0</v>
      </c>
      <c r="H77" s="1858"/>
      <c r="I77" s="1858"/>
      <c r="J77" s="1858"/>
      <c r="K77" s="1858">
        <f t="shared" si="10"/>
        <v>0</v>
      </c>
      <c r="L77" s="1858">
        <f t="shared" si="14"/>
        <v>90226807</v>
      </c>
    </row>
    <row r="78" spans="1:13" s="94" customFormat="1" ht="195" customHeight="1" x14ac:dyDescent="0.2">
      <c r="A78" s="1856">
        <v>65</v>
      </c>
      <c r="B78" s="1857" t="s">
        <v>1364</v>
      </c>
      <c r="C78" s="1893" t="s">
        <v>1349</v>
      </c>
      <c r="D78" s="1858"/>
      <c r="E78" s="1858"/>
      <c r="F78" s="1859">
        <v>6916081</v>
      </c>
      <c r="G78" s="1859">
        <v>0</v>
      </c>
      <c r="H78" s="1858"/>
      <c r="I78" s="1858"/>
      <c r="J78" s="1858"/>
      <c r="K78" s="1858">
        <f t="shared" si="10"/>
        <v>0</v>
      </c>
      <c r="L78" s="1858">
        <f t="shared" si="14"/>
        <v>6916081</v>
      </c>
    </row>
    <row r="79" spans="1:13" s="94" customFormat="1" ht="91.5" customHeight="1" x14ac:dyDescent="0.2">
      <c r="A79" s="1856">
        <v>66</v>
      </c>
      <c r="B79" s="1857" t="s">
        <v>1365</v>
      </c>
      <c r="C79" s="1893" t="s">
        <v>1349</v>
      </c>
      <c r="D79" s="1858"/>
      <c r="E79" s="1858"/>
      <c r="F79" s="1859">
        <v>8000000</v>
      </c>
      <c r="G79" s="1899"/>
      <c r="H79" s="1858"/>
      <c r="I79" s="1858"/>
      <c r="J79" s="1858"/>
      <c r="K79" s="1858">
        <f t="shared" si="10"/>
        <v>0</v>
      </c>
      <c r="L79" s="1858">
        <f t="shared" si="14"/>
        <v>8000000</v>
      </c>
    </row>
    <row r="80" spans="1:13" s="94" customFormat="1" ht="30" x14ac:dyDescent="0.2">
      <c r="A80" s="1856">
        <v>67</v>
      </c>
      <c r="B80" s="1857" t="s">
        <v>1366</v>
      </c>
      <c r="C80" s="1893" t="s">
        <v>1349</v>
      </c>
      <c r="D80" s="1858">
        <v>78570000</v>
      </c>
      <c r="E80" s="1858"/>
      <c r="F80" s="1859">
        <v>132890000</v>
      </c>
      <c r="G80" s="1859">
        <v>0</v>
      </c>
      <c r="H80" s="1858"/>
      <c r="I80" s="1858"/>
      <c r="J80" s="1858"/>
      <c r="K80" s="1858">
        <f t="shared" si="10"/>
        <v>0</v>
      </c>
      <c r="L80" s="1858">
        <f t="shared" si="14"/>
        <v>211460000</v>
      </c>
    </row>
    <row r="81" spans="1:12" s="94" customFormat="1" ht="19.5" customHeight="1" x14ac:dyDescent="0.2">
      <c r="A81" s="1856"/>
      <c r="B81" s="1857"/>
      <c r="C81" s="1893"/>
      <c r="D81" s="1858"/>
      <c r="E81" s="1858"/>
      <c r="F81" s="1859"/>
      <c r="G81" s="1859"/>
      <c r="H81" s="1858"/>
      <c r="I81" s="1858"/>
      <c r="J81" s="1858"/>
      <c r="K81" s="1858">
        <f t="shared" si="10"/>
        <v>0</v>
      </c>
      <c r="L81" s="1858">
        <f t="shared" si="14"/>
        <v>0</v>
      </c>
    </row>
    <row r="82" spans="1:12" s="94" customFormat="1" ht="19.5" customHeight="1" x14ac:dyDescent="0.2">
      <c r="A82" s="1856"/>
      <c r="B82" s="1857"/>
      <c r="C82" s="1893"/>
      <c r="D82" s="1858"/>
      <c r="E82" s="1858"/>
      <c r="F82" s="1859"/>
      <c r="G82" s="1859"/>
      <c r="H82" s="1858"/>
      <c r="I82" s="1858"/>
      <c r="J82" s="1858"/>
      <c r="K82" s="1858">
        <f t="shared" si="10"/>
        <v>0</v>
      </c>
      <c r="L82" s="1858">
        <f t="shared" si="14"/>
        <v>0</v>
      </c>
    </row>
    <row r="83" spans="1:12" ht="24" customHeight="1" x14ac:dyDescent="0.2">
      <c r="A83" s="1856"/>
      <c r="B83" s="1900" t="s">
        <v>1367</v>
      </c>
      <c r="C83" s="1856"/>
      <c r="D83" s="1858">
        <f t="shared" ref="D83:L83" si="15">D21+D12</f>
        <v>1386622626</v>
      </c>
      <c r="E83" s="1858">
        <f t="shared" si="15"/>
        <v>367132653</v>
      </c>
      <c r="F83" s="1859">
        <f t="shared" si="15"/>
        <v>984280389</v>
      </c>
      <c r="G83" s="1859">
        <f t="shared" si="15"/>
        <v>460746690</v>
      </c>
      <c r="H83" s="1858">
        <f t="shared" si="15"/>
        <v>134887823</v>
      </c>
      <c r="I83" s="1858">
        <f t="shared" si="15"/>
        <v>107966800</v>
      </c>
      <c r="J83" s="1858">
        <f t="shared" si="15"/>
        <v>508743314</v>
      </c>
      <c r="K83" s="1858">
        <f t="shared" si="15"/>
        <v>1211144627</v>
      </c>
      <c r="L83" s="1858">
        <f t="shared" si="15"/>
        <v>3949180295</v>
      </c>
    </row>
    <row r="84" spans="1:12" x14ac:dyDescent="0.2">
      <c r="E84" s="1902"/>
    </row>
  </sheetData>
  <mergeCells count="11">
    <mergeCell ref="L4:L6"/>
    <mergeCell ref="A2:L2"/>
    <mergeCell ref="B4:B5"/>
    <mergeCell ref="D4:D5"/>
    <mergeCell ref="E4:E6"/>
    <mergeCell ref="F4:F6"/>
    <mergeCell ref="G4:G6"/>
    <mergeCell ref="H4:H6"/>
    <mergeCell ref="I4:I6"/>
    <mergeCell ref="J4:J6"/>
    <mergeCell ref="K4:K6"/>
  </mergeCells>
  <pageMargins left="0.7" right="0.7" top="0.75" bottom="0.75" header="0.3" footer="0.3"/>
  <pageSetup paperSize="9" scale="53" orientation="landscape" r:id="rId1"/>
  <headerFooter>
    <oddHeader>&amp;C10. melléklet
az önkormányzat 2020. évi költségvetéséről szóló 6/2020. (III.06.) önkormányzati rendeletéhez  &amp;R&amp;P. oldal</oddHeader>
  </headerFooter>
  <rowBreaks count="6" manualBreakCount="6">
    <brk id="22" max="11" man="1"/>
    <brk id="33" max="11" man="1"/>
    <brk id="46" max="11" man="1"/>
    <brk id="56" max="11" man="1"/>
    <brk id="65" max="11" man="1"/>
    <brk id="71"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43"/>
  <sheetViews>
    <sheetView view="pageLayout" topLeftCell="A15" zoomScaleNormal="100" workbookViewId="0">
      <selection activeCell="E29" sqref="E29"/>
    </sheetView>
  </sheetViews>
  <sheetFormatPr defaultColWidth="9.140625" defaultRowHeight="15" x14ac:dyDescent="0.25"/>
  <cols>
    <col min="1" max="1" width="9.140625" style="1802"/>
    <col min="2" max="2" width="33.140625" style="1802" customWidth="1"/>
    <col min="3" max="4" width="9.28515625" style="1848" bestFit="1" customWidth="1"/>
    <col min="5" max="5" width="12.28515625" style="1802" bestFit="1" customWidth="1"/>
    <col min="6" max="6" width="13.7109375" style="1802" customWidth="1"/>
    <col min="7" max="7" width="12.140625" style="1802" customWidth="1"/>
    <col min="8" max="8" width="12" style="1802" customWidth="1"/>
    <col min="9" max="11" width="9.140625" style="1802"/>
    <col min="12" max="14" width="9.140625" style="1802" customWidth="1"/>
    <col min="15" max="16384" width="9.140625" style="1802"/>
  </cols>
  <sheetData>
    <row r="3" spans="1:8" x14ac:dyDescent="0.25">
      <c r="A3" s="1800"/>
      <c r="B3" s="1800"/>
      <c r="C3" s="1801"/>
      <c r="D3" s="1801"/>
      <c r="E3" s="1800"/>
      <c r="F3" s="1800"/>
      <c r="G3" s="1800"/>
      <c r="H3" s="1800"/>
    </row>
    <row r="4" spans="1:8" x14ac:dyDescent="0.25">
      <c r="A4" s="1800"/>
      <c r="B4" s="1800"/>
      <c r="C4" s="1801"/>
      <c r="D4" s="1801"/>
      <c r="E4" s="1800"/>
      <c r="F4" s="1800"/>
      <c r="G4" s="1800"/>
      <c r="H4" s="1800"/>
    </row>
    <row r="5" spans="1:8" ht="15.75" x14ac:dyDescent="0.25">
      <c r="A5" s="2006" t="s">
        <v>1242</v>
      </c>
      <c r="B5" s="2006"/>
      <c r="C5" s="2006"/>
      <c r="D5" s="2006"/>
      <c r="E5" s="2006"/>
      <c r="F5" s="2006"/>
      <c r="G5" s="2006"/>
      <c r="H5" s="2006"/>
    </row>
    <row r="6" spans="1:8" ht="15.75" x14ac:dyDescent="0.25">
      <c r="A6" s="2006" t="s">
        <v>1243</v>
      </c>
      <c r="B6" s="2006"/>
      <c r="C6" s="2006"/>
      <c r="D6" s="2006"/>
      <c r="E6" s="2006"/>
      <c r="F6" s="2006"/>
      <c r="G6" s="2006"/>
      <c r="H6" s="2006"/>
    </row>
    <row r="7" spans="1:8" x14ac:dyDescent="0.25">
      <c r="A7" s="1803"/>
      <c r="B7" s="1803"/>
      <c r="C7" s="1804"/>
      <c r="D7" s="1804"/>
      <c r="E7" s="1803"/>
      <c r="F7" s="1803"/>
      <c r="G7" s="1803"/>
      <c r="H7" s="1803"/>
    </row>
    <row r="8" spans="1:8" x14ac:dyDescent="0.25">
      <c r="A8" s="1800"/>
      <c r="B8" s="1800"/>
      <c r="C8" s="1801"/>
      <c r="D8" s="1801"/>
      <c r="E8" s="1800"/>
      <c r="F8" s="1800"/>
      <c r="G8" s="1800"/>
      <c r="H8" s="1800"/>
    </row>
    <row r="9" spans="1:8" x14ac:dyDescent="0.25">
      <c r="A9" s="1805" t="s">
        <v>85</v>
      </c>
      <c r="B9" s="1805"/>
      <c r="C9" s="1806" t="s">
        <v>1244</v>
      </c>
      <c r="D9" s="1807" t="s">
        <v>1245</v>
      </c>
      <c r="E9" s="2007" t="s">
        <v>1246</v>
      </c>
      <c r="F9" s="2007"/>
      <c r="G9" s="2007"/>
      <c r="H9" s="2007"/>
    </row>
    <row r="10" spans="1:8" x14ac:dyDescent="0.25">
      <c r="A10" s="1808"/>
      <c r="B10" s="1809" t="s">
        <v>1247</v>
      </c>
      <c r="C10" s="1810" t="s">
        <v>1248</v>
      </c>
      <c r="D10" s="1811" t="s">
        <v>1248</v>
      </c>
      <c r="E10" s="1812">
        <v>2020</v>
      </c>
      <c r="F10" s="1812">
        <v>2021</v>
      </c>
      <c r="G10" s="1812">
        <v>2022</v>
      </c>
      <c r="H10" s="1813" t="s">
        <v>1249</v>
      </c>
    </row>
    <row r="11" spans="1:8" x14ac:dyDescent="0.25">
      <c r="A11" s="1814"/>
      <c r="B11" s="1814"/>
      <c r="C11" s="1815"/>
      <c r="D11" s="1816"/>
      <c r="E11" s="1814"/>
      <c r="F11" s="1817"/>
      <c r="G11" s="1817"/>
      <c r="H11" s="1814"/>
    </row>
    <row r="12" spans="1:8" x14ac:dyDescent="0.25">
      <c r="A12" s="1809" t="s">
        <v>1095</v>
      </c>
      <c r="B12" s="1809" t="s">
        <v>344</v>
      </c>
      <c r="C12" s="1810" t="s">
        <v>1096</v>
      </c>
      <c r="D12" s="1810" t="s">
        <v>1097</v>
      </c>
      <c r="E12" s="1818" t="s">
        <v>1098</v>
      </c>
      <c r="F12" s="1818" t="s">
        <v>1099</v>
      </c>
      <c r="G12" s="1818" t="s">
        <v>1100</v>
      </c>
      <c r="H12" s="1818" t="s">
        <v>1101</v>
      </c>
    </row>
    <row r="13" spans="1:8" x14ac:dyDescent="0.25">
      <c r="A13" s="1819"/>
      <c r="B13" s="1819" t="s">
        <v>1250</v>
      </c>
      <c r="C13" s="1820"/>
      <c r="D13" s="1820"/>
      <c r="E13" s="1819"/>
      <c r="F13" s="1819"/>
      <c r="G13" s="1819"/>
      <c r="H13" s="1819"/>
    </row>
    <row r="14" spans="1:8" ht="26.25" x14ac:dyDescent="0.25">
      <c r="A14" s="1819" t="s">
        <v>1095</v>
      </c>
      <c r="B14" s="1821" t="s">
        <v>1251</v>
      </c>
      <c r="C14" s="1822"/>
      <c r="D14" s="1822"/>
      <c r="E14" s="1823"/>
      <c r="F14" s="1823"/>
      <c r="G14" s="1823"/>
      <c r="H14" s="1823"/>
    </row>
    <row r="15" spans="1:8" x14ac:dyDescent="0.25">
      <c r="A15" s="1824" t="s">
        <v>344</v>
      </c>
      <c r="B15" s="1825"/>
      <c r="C15" s="1826"/>
      <c r="D15" s="1826"/>
      <c r="E15" s="1827"/>
      <c r="F15" s="1827"/>
      <c r="G15" s="1827"/>
      <c r="H15" s="1827"/>
    </row>
    <row r="16" spans="1:8" x14ac:dyDescent="0.25">
      <c r="A16" s="1819" t="s">
        <v>1096</v>
      </c>
      <c r="B16" s="1828" t="s">
        <v>1252</v>
      </c>
      <c r="C16" s="1829"/>
      <c r="D16" s="1829"/>
      <c r="E16" s="1823"/>
      <c r="F16" s="1823"/>
      <c r="G16" s="1823"/>
      <c r="H16" s="1823"/>
    </row>
    <row r="17" spans="1:8" x14ac:dyDescent="0.25">
      <c r="A17" s="1819" t="s">
        <v>1097</v>
      </c>
      <c r="B17" s="1830"/>
      <c r="C17" s="1829"/>
      <c r="D17" s="1829"/>
      <c r="E17" s="1823"/>
      <c r="F17" s="1823"/>
      <c r="G17" s="1823"/>
      <c r="H17" s="1823"/>
    </row>
    <row r="18" spans="1:8" x14ac:dyDescent="0.25">
      <c r="A18" s="1805" t="s">
        <v>1098</v>
      </c>
      <c r="B18" s="1828" t="s">
        <v>1253</v>
      </c>
      <c r="C18" s="1831"/>
      <c r="D18" s="1831"/>
      <c r="E18" s="1832"/>
      <c r="F18" s="1832"/>
      <c r="G18" s="1833"/>
      <c r="H18" s="1832"/>
    </row>
    <row r="19" spans="1:8" ht="26.25" x14ac:dyDescent="0.25">
      <c r="A19" s="1819" t="s">
        <v>1099</v>
      </c>
      <c r="B19" s="1821" t="s">
        <v>1254</v>
      </c>
      <c r="C19" s="1822"/>
      <c r="D19" s="1822"/>
      <c r="E19" s="1834">
        <f>E21+E23</f>
        <v>567662320</v>
      </c>
      <c r="F19" s="1834">
        <f>F21+F23</f>
        <v>480666491</v>
      </c>
      <c r="G19" s="1834">
        <f>G21+G23</f>
        <v>395665309</v>
      </c>
      <c r="H19" s="1834">
        <f>H21+H23</f>
        <v>312621239</v>
      </c>
    </row>
    <row r="20" spans="1:8" x14ac:dyDescent="0.25">
      <c r="A20" s="1824" t="s">
        <v>1100</v>
      </c>
      <c r="B20" s="1827" t="s">
        <v>1255</v>
      </c>
      <c r="C20" s="1826">
        <v>2014</v>
      </c>
      <c r="D20" s="1826">
        <v>2026</v>
      </c>
      <c r="E20" s="1835">
        <v>519696970</v>
      </c>
      <c r="F20" s="1835">
        <f>E20-74242424</f>
        <v>445454546</v>
      </c>
      <c r="G20" s="1835">
        <f>F20-74242424</f>
        <v>371212122</v>
      </c>
      <c r="H20" s="1835">
        <f>G20-74242424</f>
        <v>296969698</v>
      </c>
    </row>
    <row r="21" spans="1:8" x14ac:dyDescent="0.25">
      <c r="A21" s="1819" t="s">
        <v>1101</v>
      </c>
      <c r="B21" s="1828" t="s">
        <v>1256</v>
      </c>
      <c r="C21" s="1829"/>
      <c r="D21" s="1829"/>
      <c r="E21" s="1834">
        <f>SUM(E20:E20)</f>
        <v>519696970</v>
      </c>
      <c r="F21" s="1834">
        <f>SUM(F20:F20)</f>
        <v>445454546</v>
      </c>
      <c r="G21" s="1834">
        <f>SUM(G20:G20)</f>
        <v>371212122</v>
      </c>
      <c r="H21" s="1834">
        <f>SUM(H20:H20)</f>
        <v>296969698</v>
      </c>
    </row>
    <row r="22" spans="1:8" x14ac:dyDescent="0.25">
      <c r="A22" s="1819" t="s">
        <v>1102</v>
      </c>
      <c r="B22" s="1827" t="s">
        <v>1257</v>
      </c>
      <c r="C22" s="1826">
        <v>2014</v>
      </c>
      <c r="D22" s="1826">
        <v>2026</v>
      </c>
      <c r="E22" s="1836">
        <v>47965350</v>
      </c>
      <c r="F22" s="1836">
        <v>35211945</v>
      </c>
      <c r="G22" s="1836">
        <v>24453187</v>
      </c>
      <c r="H22" s="1836">
        <v>15651541</v>
      </c>
    </row>
    <row r="23" spans="1:8" x14ac:dyDescent="0.25">
      <c r="A23" s="1805" t="s">
        <v>1103</v>
      </c>
      <c r="B23" s="1837" t="s">
        <v>1258</v>
      </c>
      <c r="C23" s="1831"/>
      <c r="D23" s="1831"/>
      <c r="E23" s="1838">
        <f>SUM(E22:E22)</f>
        <v>47965350</v>
      </c>
      <c r="F23" s="1838">
        <f>SUM(F22:F22)</f>
        <v>35211945</v>
      </c>
      <c r="G23" s="1838">
        <f>SUM(G22:G22)</f>
        <v>24453187</v>
      </c>
      <c r="H23" s="1838">
        <f>SUM(H22:H22)</f>
        <v>15651541</v>
      </c>
    </row>
    <row r="24" spans="1:8" x14ac:dyDescent="0.25">
      <c r="A24" s="1819" t="s">
        <v>1104</v>
      </c>
      <c r="B24" s="1828" t="s">
        <v>1259</v>
      </c>
      <c r="C24" s="1822"/>
      <c r="D24" s="1822"/>
      <c r="E24" s="1834">
        <f>E19+E14</f>
        <v>567662320</v>
      </c>
      <c r="F24" s="1834">
        <f>F19+F14</f>
        <v>480666491</v>
      </c>
      <c r="G24" s="1834">
        <f>G19+G14</f>
        <v>395665309</v>
      </c>
      <c r="H24" s="1834">
        <f>H19+H14</f>
        <v>312621239</v>
      </c>
    </row>
    <row r="25" spans="1:8" ht="64.5" x14ac:dyDescent="0.25">
      <c r="A25" s="1819" t="s">
        <v>1105</v>
      </c>
      <c r="B25" s="1821" t="s">
        <v>1260</v>
      </c>
      <c r="C25" s="1822"/>
      <c r="D25" s="1822"/>
      <c r="E25" s="1834"/>
      <c r="F25" s="1834"/>
      <c r="G25" s="1834"/>
      <c r="H25" s="1834"/>
    </row>
    <row r="26" spans="1:8" ht="26.25" x14ac:dyDescent="0.25">
      <c r="A26" s="1819" t="s">
        <v>1106</v>
      </c>
      <c r="B26" s="1839" t="s">
        <v>1261</v>
      </c>
      <c r="C26" s="1840" t="s">
        <v>1262</v>
      </c>
      <c r="D26" s="1841" t="s">
        <v>1263</v>
      </c>
      <c r="E26" s="1834">
        <v>0</v>
      </c>
      <c r="F26" s="1834">
        <v>0</v>
      </c>
      <c r="G26" s="1834">
        <v>0</v>
      </c>
      <c r="H26" s="1835">
        <v>0</v>
      </c>
    </row>
    <row r="27" spans="1:8" ht="26.25" x14ac:dyDescent="0.25">
      <c r="A27" s="1819" t="s">
        <v>1107</v>
      </c>
      <c r="B27" s="1839" t="s">
        <v>1264</v>
      </c>
      <c r="C27" s="1840" t="s">
        <v>1265</v>
      </c>
      <c r="D27" s="1841" t="s">
        <v>1266</v>
      </c>
      <c r="E27" s="1842">
        <v>0</v>
      </c>
      <c r="F27" s="1842"/>
      <c r="G27" s="1842">
        <v>0</v>
      </c>
      <c r="H27" s="1842">
        <v>0</v>
      </c>
    </row>
    <row r="28" spans="1:8" ht="26.25" x14ac:dyDescent="0.25">
      <c r="A28" s="1819" t="s">
        <v>1108</v>
      </c>
      <c r="B28" s="1839" t="s">
        <v>1044</v>
      </c>
      <c r="C28" s="1840" t="s">
        <v>1267</v>
      </c>
      <c r="D28" s="1841" t="s">
        <v>1268</v>
      </c>
      <c r="E28" s="1842">
        <v>60000000</v>
      </c>
      <c r="F28" s="1842">
        <v>50000000</v>
      </c>
      <c r="G28" s="1842">
        <v>42000000</v>
      </c>
      <c r="H28" s="1842">
        <v>34000000</v>
      </c>
    </row>
    <row r="29" spans="1:8" x14ac:dyDescent="0.25">
      <c r="A29" s="1819" t="s">
        <v>1109</v>
      </c>
      <c r="B29" s="1839" t="s">
        <v>465</v>
      </c>
      <c r="C29" s="1840" t="s">
        <v>1269</v>
      </c>
      <c r="D29" s="1841" t="s">
        <v>1270</v>
      </c>
      <c r="E29" s="1842"/>
      <c r="F29" s="1842"/>
      <c r="G29" s="1842"/>
      <c r="H29" s="1842"/>
    </row>
    <row r="30" spans="1:8" x14ac:dyDescent="0.25">
      <c r="A30" s="1819" t="s">
        <v>1271</v>
      </c>
      <c r="B30" s="1828" t="s">
        <v>1272</v>
      </c>
      <c r="C30" s="1822"/>
      <c r="D30" s="1822"/>
      <c r="E30" s="1834">
        <f>SUM(E26:E29)</f>
        <v>60000000</v>
      </c>
      <c r="F30" s="1834">
        <f>SUM(F26:F29)</f>
        <v>50000000</v>
      </c>
      <c r="G30" s="1834">
        <f>SUM(G26:G29)</f>
        <v>42000000</v>
      </c>
      <c r="H30" s="1834">
        <f>SUM(H26:H29)</f>
        <v>34000000</v>
      </c>
    </row>
    <row r="31" spans="1:8" x14ac:dyDescent="0.25">
      <c r="A31" s="1819" t="s">
        <v>1273</v>
      </c>
      <c r="B31" s="1819" t="s">
        <v>1274</v>
      </c>
      <c r="C31" s="1820"/>
      <c r="D31" s="1820"/>
      <c r="E31" s="1819"/>
      <c r="F31" s="1819"/>
      <c r="G31" s="1819"/>
      <c r="H31" s="1819"/>
    </row>
    <row r="32" spans="1:8" ht="26.25" x14ac:dyDescent="0.25">
      <c r="A32" s="1819" t="s">
        <v>1275</v>
      </c>
      <c r="B32" s="1821" t="s">
        <v>1251</v>
      </c>
      <c r="C32" s="1822"/>
      <c r="D32" s="1822"/>
      <c r="E32" s="1823"/>
      <c r="F32" s="1823"/>
      <c r="G32" s="1823"/>
      <c r="H32" s="1823"/>
    </row>
    <row r="33" spans="1:8" x14ac:dyDescent="0.25">
      <c r="A33" s="1824" t="s">
        <v>1276</v>
      </c>
      <c r="B33" s="1825"/>
      <c r="C33" s="1826"/>
      <c r="D33" s="1826"/>
      <c r="E33" s="1827"/>
      <c r="F33" s="1827"/>
      <c r="G33" s="1827"/>
      <c r="H33" s="1827"/>
    </row>
    <row r="34" spans="1:8" x14ac:dyDescent="0.25">
      <c r="A34" s="1819" t="s">
        <v>1277</v>
      </c>
      <c r="B34" s="1828" t="s">
        <v>1252</v>
      </c>
      <c r="C34" s="1829"/>
      <c r="D34" s="1829"/>
      <c r="E34" s="1823"/>
      <c r="F34" s="1823"/>
      <c r="G34" s="1823"/>
      <c r="H34" s="1823"/>
    </row>
    <row r="35" spans="1:8" x14ac:dyDescent="0.25">
      <c r="A35" s="1819" t="s">
        <v>1278</v>
      </c>
      <c r="B35" s="1830"/>
      <c r="C35" s="1829"/>
      <c r="D35" s="1829"/>
      <c r="E35" s="1823"/>
      <c r="F35" s="1823"/>
      <c r="G35" s="1823"/>
      <c r="H35" s="1823"/>
    </row>
    <row r="36" spans="1:8" x14ac:dyDescent="0.25">
      <c r="A36" s="1805" t="s">
        <v>1279</v>
      </c>
      <c r="B36" s="1828" t="s">
        <v>1253</v>
      </c>
      <c r="C36" s="1831"/>
      <c r="D36" s="1831"/>
      <c r="E36" s="1832"/>
      <c r="F36" s="1832"/>
      <c r="G36" s="1832"/>
      <c r="H36" s="1832"/>
    </row>
    <row r="37" spans="1:8" ht="26.25" x14ac:dyDescent="0.25">
      <c r="A37" s="1819" t="s">
        <v>1280</v>
      </c>
      <c r="B37" s="1821" t="s">
        <v>1254</v>
      </c>
      <c r="C37" s="1822"/>
      <c r="D37" s="1822"/>
      <c r="E37" s="1834"/>
      <c r="F37" s="1834"/>
      <c r="G37" s="1834"/>
      <c r="H37" s="1834"/>
    </row>
    <row r="38" spans="1:8" x14ac:dyDescent="0.25">
      <c r="A38" s="1819" t="s">
        <v>1281</v>
      </c>
      <c r="B38" s="1823"/>
      <c r="C38" s="1829"/>
      <c r="D38" s="1829"/>
      <c r="E38" s="1843"/>
      <c r="F38" s="1843"/>
      <c r="G38" s="1843"/>
      <c r="H38" s="1843"/>
    </row>
    <row r="39" spans="1:8" x14ac:dyDescent="0.25">
      <c r="A39" s="1819" t="s">
        <v>1282</v>
      </c>
      <c r="B39" s="1828" t="s">
        <v>1252</v>
      </c>
      <c r="C39" s="1829"/>
      <c r="D39" s="1829"/>
      <c r="E39" s="1843"/>
      <c r="F39" s="1843"/>
      <c r="G39" s="1843"/>
      <c r="H39" s="1843"/>
    </row>
    <row r="40" spans="1:8" x14ac:dyDescent="0.25">
      <c r="A40" s="1819" t="s">
        <v>1283</v>
      </c>
      <c r="B40" s="1844"/>
      <c r="C40" s="1829"/>
      <c r="D40" s="1829"/>
      <c r="E40" s="1843"/>
      <c r="F40" s="1843"/>
      <c r="G40" s="1843"/>
      <c r="H40" s="1843"/>
    </row>
    <row r="41" spans="1:8" x14ac:dyDescent="0.25">
      <c r="A41" s="1805" t="s">
        <v>1284</v>
      </c>
      <c r="B41" s="1837" t="s">
        <v>1253</v>
      </c>
      <c r="C41" s="1831"/>
      <c r="D41" s="1831"/>
      <c r="E41" s="1833"/>
      <c r="F41" s="1833"/>
      <c r="G41" s="1833"/>
      <c r="H41" s="1833"/>
    </row>
    <row r="42" spans="1:8" x14ac:dyDescent="0.25">
      <c r="A42" s="1819" t="s">
        <v>1285</v>
      </c>
      <c r="B42" s="1828" t="s">
        <v>1286</v>
      </c>
      <c r="C42" s="1822"/>
      <c r="D42" s="1822"/>
      <c r="E42" s="1834"/>
      <c r="F42" s="1834"/>
      <c r="G42" s="1834"/>
      <c r="H42" s="1834"/>
    </row>
    <row r="43" spans="1:8" x14ac:dyDescent="0.25">
      <c r="A43" s="1845" t="s">
        <v>1287</v>
      </c>
      <c r="B43" s="1828" t="s">
        <v>1288</v>
      </c>
      <c r="C43" s="1846"/>
      <c r="D43" s="1846"/>
      <c r="E43" s="1847">
        <f>E24+E30</f>
        <v>627662320</v>
      </c>
      <c r="F43" s="1847">
        <f>F24+F30</f>
        <v>530666491</v>
      </c>
      <c r="G43" s="1847">
        <f>G24+G30</f>
        <v>437665309</v>
      </c>
      <c r="H43" s="1847">
        <f>H24+H30</f>
        <v>346621239</v>
      </c>
    </row>
  </sheetData>
  <mergeCells count="3">
    <mergeCell ref="A5:H5"/>
    <mergeCell ref="A6:H6"/>
    <mergeCell ref="E9:H9"/>
  </mergeCells>
  <pageMargins left="0.7" right="0.7" top="0.75" bottom="0.75" header="0.3" footer="0.3"/>
  <pageSetup paperSize="9" scale="80" orientation="portrait" r:id="rId1"/>
  <headerFooter>
    <oddHeader>&amp;C11. melléklet
az önkormányzat 2020. évi költségvetéséről szóló 6/2020. (III.06.) önkormányzati rendeletéhez  &amp;R
&amp;P. oldal</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F24"/>
  <sheetViews>
    <sheetView view="pageLayout" zoomScaleNormal="100" zoomScaleSheetLayoutView="100" workbookViewId="0">
      <selection activeCell="D13" sqref="D13"/>
    </sheetView>
  </sheetViews>
  <sheetFormatPr defaultColWidth="9.140625" defaultRowHeight="12.75" x14ac:dyDescent="0.2"/>
  <cols>
    <col min="1" max="1" width="9.140625" style="1758" customWidth="1"/>
    <col min="2" max="2" width="25.42578125" style="1758" customWidth="1"/>
    <col min="3" max="3" width="22.140625" style="1758" customWidth="1"/>
    <col min="4" max="4" width="17.28515625" style="1758" bestFit="1" customWidth="1"/>
    <col min="5" max="5" width="13.85546875" style="1758" bestFit="1" customWidth="1"/>
    <col min="6" max="6" width="12.7109375" style="1758" bestFit="1" customWidth="1"/>
    <col min="7" max="16384" width="9.140625" style="1758"/>
  </cols>
  <sheetData>
    <row r="4" spans="1:6" ht="15.75" x14ac:dyDescent="0.25">
      <c r="A4" s="2008" t="s">
        <v>1217</v>
      </c>
      <c r="B4" s="2008"/>
      <c r="C4" s="2008"/>
      <c r="D4" s="2008"/>
      <c r="E4" s="2008"/>
    </row>
    <row r="5" spans="1:6" ht="15.75" x14ac:dyDescent="0.25">
      <c r="A5" s="2008" t="s">
        <v>1218</v>
      </c>
      <c r="B5" s="2008"/>
      <c r="C5" s="2008"/>
      <c r="D5" s="2008"/>
      <c r="E5" s="2008"/>
    </row>
    <row r="6" spans="1:6" ht="13.5" thickBot="1" x14ac:dyDescent="0.25"/>
    <row r="7" spans="1:6" x14ac:dyDescent="0.2">
      <c r="A7" s="1759" t="s">
        <v>85</v>
      </c>
      <c r="B7" s="1760" t="s">
        <v>1219</v>
      </c>
      <c r="C7" s="1760" t="s">
        <v>1220</v>
      </c>
      <c r="D7" s="1760" t="s">
        <v>1221</v>
      </c>
      <c r="E7" s="1761" t="s">
        <v>1222</v>
      </c>
    </row>
    <row r="8" spans="1:6" x14ac:dyDescent="0.2">
      <c r="A8" s="1762"/>
      <c r="B8" s="1763"/>
      <c r="C8" s="1764" t="s">
        <v>1223</v>
      </c>
      <c r="D8" s="1765" t="s">
        <v>1224</v>
      </c>
      <c r="E8" s="1766" t="s">
        <v>1225</v>
      </c>
    </row>
    <row r="9" spans="1:6" x14ac:dyDescent="0.2">
      <c r="A9" s="1762"/>
      <c r="B9" s="1763"/>
      <c r="C9" s="1763"/>
      <c r="D9" s="1765" t="s">
        <v>1226</v>
      </c>
      <c r="E9" s="1766" t="s">
        <v>1227</v>
      </c>
    </row>
    <row r="10" spans="1:6" ht="13.5" thickBot="1" x14ac:dyDescent="0.25">
      <c r="A10" s="1767" t="s">
        <v>1095</v>
      </c>
      <c r="B10" s="1768" t="s">
        <v>344</v>
      </c>
      <c r="C10" s="1768" t="s">
        <v>1096</v>
      </c>
      <c r="D10" s="1768" t="s">
        <v>1097</v>
      </c>
      <c r="E10" s="1769" t="s">
        <v>1098</v>
      </c>
    </row>
    <row r="11" spans="1:6" ht="65.25" customHeight="1" x14ac:dyDescent="0.2">
      <c r="A11" s="1770" t="s">
        <v>344</v>
      </c>
      <c r="B11" s="1771" t="s">
        <v>1228</v>
      </c>
      <c r="C11" s="1772"/>
      <c r="D11" s="1773">
        <f>SUM(D12:D13)</f>
        <v>37051698</v>
      </c>
      <c r="E11" s="1774">
        <f>SUM(E12:E12)</f>
        <v>0</v>
      </c>
    </row>
    <row r="12" spans="1:6" x14ac:dyDescent="0.2">
      <c r="A12" s="1775"/>
      <c r="B12" s="1776"/>
      <c r="C12" s="1776" t="s">
        <v>1229</v>
      </c>
      <c r="D12" s="1777">
        <f>'[6]2.a tábla ÚJ '!J27</f>
        <v>854922</v>
      </c>
      <c r="E12" s="1778">
        <v>0</v>
      </c>
    </row>
    <row r="13" spans="1:6" x14ac:dyDescent="0.2">
      <c r="A13" s="1775"/>
      <c r="B13" s="1776"/>
      <c r="C13" s="1776" t="s">
        <v>1230</v>
      </c>
      <c r="D13" s="1777">
        <f>'[6]2.sz.tábla   (2)'!D51</f>
        <v>36196776</v>
      </c>
      <c r="E13" s="1778">
        <v>0</v>
      </c>
    </row>
    <row r="14" spans="1:6" ht="69" customHeight="1" x14ac:dyDescent="0.2">
      <c r="A14" s="1779" t="s">
        <v>1096</v>
      </c>
      <c r="B14" s="1780" t="s">
        <v>1231</v>
      </c>
      <c r="C14" s="1776"/>
      <c r="D14" s="1781"/>
      <c r="E14" s="1778">
        <v>0</v>
      </c>
    </row>
    <row r="15" spans="1:6" ht="55.5" customHeight="1" x14ac:dyDescent="0.2">
      <c r="A15" s="1779"/>
      <c r="B15" s="1782" t="s">
        <v>1232</v>
      </c>
      <c r="C15" s="1783"/>
      <c r="D15" s="1784">
        <f>SUM(D16:D20)</f>
        <v>2386226234</v>
      </c>
      <c r="E15" s="1785">
        <f>SUM(E16:E21)</f>
        <v>338427126</v>
      </c>
    </row>
    <row r="16" spans="1:6" x14ac:dyDescent="0.2">
      <c r="A16" s="1779"/>
      <c r="B16" s="1786"/>
      <c r="C16" s="1787" t="s">
        <v>1233</v>
      </c>
      <c r="D16" s="1777">
        <f t="shared" ref="D16:D23" si="0">F16+E16</f>
        <v>616126162</v>
      </c>
      <c r="E16" s="1788">
        <v>166126162</v>
      </c>
      <c r="F16" s="1789">
        <f>'[7]2.sz.tábla   (2)'!D32</f>
        <v>450000000</v>
      </c>
    </row>
    <row r="17" spans="1:6" x14ac:dyDescent="0.2">
      <c r="A17" s="1779"/>
      <c r="B17" s="1786"/>
      <c r="C17" s="1787" t="s">
        <v>1234</v>
      </c>
      <c r="D17" s="1777">
        <f t="shared" si="0"/>
        <v>1135248233</v>
      </c>
      <c r="E17" s="1788">
        <v>35248233</v>
      </c>
      <c r="F17" s="1789">
        <f>'[7]2.sz.tábla   (2)'!D36</f>
        <v>1100000000</v>
      </c>
    </row>
    <row r="18" spans="1:6" ht="16.5" customHeight="1" x14ac:dyDescent="0.2">
      <c r="A18" s="1779"/>
      <c r="B18" s="1786"/>
      <c r="C18" s="1790" t="s">
        <v>1235</v>
      </c>
      <c r="D18" s="1777">
        <f t="shared" si="0"/>
        <v>528359585</v>
      </c>
      <c r="E18" s="1788">
        <v>113359585</v>
      </c>
      <c r="F18" s="1789">
        <f>'[7]2.sz.tábla   (2)'!D39</f>
        <v>415000000</v>
      </c>
    </row>
    <row r="19" spans="1:6" ht="16.5" customHeight="1" x14ac:dyDescent="0.2">
      <c r="A19" s="1779"/>
      <c r="B19" s="1786"/>
      <c r="C19" s="1790" t="s">
        <v>1236</v>
      </c>
      <c r="D19" s="1777">
        <f t="shared" si="0"/>
        <v>28393244</v>
      </c>
      <c r="E19" s="1788">
        <v>3393244</v>
      </c>
      <c r="F19" s="1789">
        <f>'[7]2.sz.tábla   (2)'!D33</f>
        <v>25000000</v>
      </c>
    </row>
    <row r="20" spans="1:6" x14ac:dyDescent="0.2">
      <c r="A20" s="1779"/>
      <c r="B20" s="1786"/>
      <c r="C20" s="1787" t="s">
        <v>1237</v>
      </c>
      <c r="D20" s="1777">
        <f t="shared" si="0"/>
        <v>78099010</v>
      </c>
      <c r="E20" s="1788">
        <v>19259010</v>
      </c>
      <c r="F20" s="1789">
        <f>'[7]2.sz.tábla   (2)'!D37</f>
        <v>58840000</v>
      </c>
    </row>
    <row r="21" spans="1:6" x14ac:dyDescent="0.2">
      <c r="A21" s="1779"/>
      <c r="B21" s="1786"/>
      <c r="C21" s="1787" t="s">
        <v>1238</v>
      </c>
      <c r="D21" s="1777">
        <f t="shared" si="0"/>
        <v>7040892</v>
      </c>
      <c r="E21" s="1788">
        <v>1040892</v>
      </c>
      <c r="F21" s="1758">
        <v>6000000</v>
      </c>
    </row>
    <row r="22" spans="1:6" ht="63.75" x14ac:dyDescent="0.2">
      <c r="A22" s="1779" t="s">
        <v>1097</v>
      </c>
      <c r="B22" s="1780" t="s">
        <v>1239</v>
      </c>
      <c r="C22" s="1776"/>
      <c r="D22" s="1777">
        <f t="shared" si="0"/>
        <v>360920350</v>
      </c>
      <c r="E22" s="1778">
        <f>7689305+6873694</f>
        <v>14562999</v>
      </c>
      <c r="F22" s="1789">
        <f>'[7]2.sz.tábla   (2)'!D46</f>
        <v>346357351</v>
      </c>
    </row>
    <row r="23" spans="1:6" ht="39" thickBot="1" x14ac:dyDescent="0.25">
      <c r="A23" s="1791" t="s">
        <v>1098</v>
      </c>
      <c r="B23" s="1792" t="s">
        <v>1240</v>
      </c>
      <c r="C23" s="1793"/>
      <c r="D23" s="1794">
        <f t="shared" si="0"/>
        <v>230000542</v>
      </c>
      <c r="E23" s="1795">
        <v>0</v>
      </c>
      <c r="F23" s="1789">
        <f>'[7]2.sz.tábla   (2)'!D68+'[7]2.sz.tábla   (2)'!D72</f>
        <v>230000542</v>
      </c>
    </row>
    <row r="24" spans="1:6" ht="13.5" thickBot="1" x14ac:dyDescent="0.25">
      <c r="A24" s="1796"/>
      <c r="B24" s="1797" t="s">
        <v>1241</v>
      </c>
      <c r="C24" s="1797"/>
      <c r="D24" s="1798">
        <f>D23+D22+D14+D15+D11</f>
        <v>3014198824</v>
      </c>
      <c r="E24" s="1799">
        <f>E23+E22+E14+E15+E11</f>
        <v>352990125</v>
      </c>
    </row>
  </sheetData>
  <mergeCells count="2">
    <mergeCell ref="A4:E4"/>
    <mergeCell ref="A5:E5"/>
  </mergeCells>
  <pageMargins left="0.75" right="0.75" top="1" bottom="1" header="0.5" footer="0.5"/>
  <pageSetup paperSize="9" scale="91" orientation="portrait" r:id="rId1"/>
  <headerFooter alignWithMargins="0">
    <oddHeader xml:space="preserve">&amp;C12. melléklet
az önkormányzat 2020. évi költségvetéséről szóló 6/2020. (III.06.) önkormányzati rendeletéhez  &amp;R
&amp;P. oldal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2"/>
  <sheetViews>
    <sheetView view="pageLayout" topLeftCell="A177" zoomScaleNormal="100" workbookViewId="0">
      <selection activeCell="I189" sqref="I189"/>
    </sheetView>
  </sheetViews>
  <sheetFormatPr defaultRowHeight="12.75" x14ac:dyDescent="0.2"/>
  <cols>
    <col min="1" max="1" width="17.5703125" style="1041" customWidth="1"/>
    <col min="2" max="2" width="13.42578125" style="987" customWidth="1"/>
    <col min="3" max="3" width="14.140625" style="987" customWidth="1"/>
    <col min="4" max="4" width="13.42578125" style="987" customWidth="1"/>
    <col min="5" max="5" width="14.140625" style="987" customWidth="1"/>
    <col min="6" max="6" width="13.7109375" customWidth="1"/>
    <col min="7" max="7" width="9.7109375" bestFit="1" customWidth="1"/>
  </cols>
  <sheetData>
    <row r="1" spans="1:5" x14ac:dyDescent="0.2">
      <c r="A1" s="2011" t="s">
        <v>941</v>
      </c>
      <c r="B1" s="2011"/>
      <c r="C1" s="2011"/>
      <c r="D1" s="2011"/>
      <c r="E1" s="2011"/>
    </row>
    <row r="2" spans="1:5" ht="22.5" customHeight="1" x14ac:dyDescent="0.2">
      <c r="A2" s="2011"/>
      <c r="B2" s="2011"/>
      <c r="C2" s="2011"/>
      <c r="D2" s="2011"/>
      <c r="E2" s="2011"/>
    </row>
    <row r="3" spans="1:5" ht="15" x14ac:dyDescent="0.25">
      <c r="A3" s="1043"/>
      <c r="B3" s="1044"/>
      <c r="C3" s="1044"/>
      <c r="D3" s="1044"/>
      <c r="E3" s="1044"/>
    </row>
    <row r="4" spans="1:5" x14ac:dyDescent="0.2">
      <c r="A4" s="1043"/>
      <c r="B4" s="1045" t="s">
        <v>858</v>
      </c>
      <c r="C4" s="1046"/>
      <c r="D4" s="1047"/>
    </row>
    <row r="5" spans="1:5" ht="25.5" x14ac:dyDescent="0.2">
      <c r="A5" s="1048" t="s">
        <v>859</v>
      </c>
      <c r="B5" s="2012" t="s">
        <v>860</v>
      </c>
      <c r="C5" s="2012"/>
      <c r="D5" s="2012"/>
    </row>
    <row r="6" spans="1:5" x14ac:dyDescent="0.2">
      <c r="A6" s="1049"/>
      <c r="B6" s="1050"/>
      <c r="C6" s="1051"/>
      <c r="D6" s="1052"/>
    </row>
    <row r="7" spans="1:5" x14ac:dyDescent="0.2">
      <c r="A7" s="1049"/>
      <c r="B7" s="1050"/>
      <c r="C7" s="1053"/>
      <c r="D7" s="1054"/>
    </row>
    <row r="8" spans="1:5" x14ac:dyDescent="0.2">
      <c r="A8" s="1055" t="s">
        <v>861</v>
      </c>
      <c r="B8" s="1056" t="s">
        <v>862</v>
      </c>
      <c r="C8" s="1057" t="s">
        <v>863</v>
      </c>
      <c r="D8" s="1058" t="s">
        <v>864</v>
      </c>
      <c r="E8" s="1059" t="s">
        <v>83</v>
      </c>
    </row>
    <row r="9" spans="1:5" x14ac:dyDescent="0.2">
      <c r="A9" s="1060" t="s">
        <v>865</v>
      </c>
      <c r="B9" s="1061">
        <v>126048529</v>
      </c>
      <c r="C9" s="1062">
        <v>27728400</v>
      </c>
      <c r="D9" s="1065">
        <v>161911871</v>
      </c>
      <c r="E9" s="1064">
        <f>SUM(B9:D9)</f>
        <v>315688800</v>
      </c>
    </row>
    <row r="10" spans="1:5" x14ac:dyDescent="0.2">
      <c r="A10" s="1060" t="s">
        <v>866</v>
      </c>
      <c r="B10" s="1061"/>
      <c r="C10" s="1062"/>
      <c r="D10" s="1065"/>
      <c r="E10" s="1064">
        <f t="shared" ref="E10:E12" si="0">SUM(B10:D10)</f>
        <v>0</v>
      </c>
    </row>
    <row r="11" spans="1:5" x14ac:dyDescent="0.2">
      <c r="A11" s="1060" t="s">
        <v>867</v>
      </c>
      <c r="B11" s="1061"/>
      <c r="C11" s="1062"/>
      <c r="D11" s="1065"/>
      <c r="E11" s="1064">
        <f t="shared" si="0"/>
        <v>0</v>
      </c>
    </row>
    <row r="12" spans="1:5" s="1160" customFormat="1" x14ac:dyDescent="0.2">
      <c r="A12" s="1066" t="s">
        <v>83</v>
      </c>
      <c r="B12" s="1067">
        <f>SUM(B9:B11)</f>
        <v>126048529</v>
      </c>
      <c r="C12" s="1067">
        <f>SUM(C9:C11)</f>
        <v>27728400</v>
      </c>
      <c r="D12" s="1068">
        <f>SUM(D9:D11)</f>
        <v>161911871</v>
      </c>
      <c r="E12" s="1159">
        <f t="shared" si="0"/>
        <v>315688800</v>
      </c>
    </row>
    <row r="13" spans="1:5" x14ac:dyDescent="0.2">
      <c r="A13" s="1070"/>
      <c r="B13" s="1071"/>
      <c r="C13" s="1072"/>
      <c r="D13" s="1073"/>
      <c r="E13" s="1074"/>
    </row>
    <row r="14" spans="1:5" ht="38.25" x14ac:dyDescent="0.2">
      <c r="A14" s="1055" t="s">
        <v>868</v>
      </c>
      <c r="B14" s="1075" t="s">
        <v>869</v>
      </c>
      <c r="C14" s="1076" t="s">
        <v>934</v>
      </c>
      <c r="D14" s="1059" t="s">
        <v>864</v>
      </c>
      <c r="E14" s="1077" t="s">
        <v>83</v>
      </c>
    </row>
    <row r="15" spans="1:5" ht="25.5" x14ac:dyDescent="0.2">
      <c r="A15" s="1060" t="s">
        <v>870</v>
      </c>
      <c r="B15" s="1061">
        <v>18584629</v>
      </c>
      <c r="C15" s="1078">
        <v>39903534</v>
      </c>
      <c r="D15" s="1079">
        <v>41831837</v>
      </c>
      <c r="E15" s="1064">
        <f>SUM(B15:D15)</f>
        <v>100320000</v>
      </c>
    </row>
    <row r="16" spans="1:5" ht="25.5" x14ac:dyDescent="0.2">
      <c r="A16" s="1060" t="s">
        <v>871</v>
      </c>
      <c r="B16" s="1061">
        <v>3199963</v>
      </c>
      <c r="C16" s="1078">
        <v>5310895</v>
      </c>
      <c r="D16" s="1079">
        <v>10549942</v>
      </c>
      <c r="E16" s="1064">
        <f t="shared" ref="E16:E21" si="1">SUM(B16:D16)</f>
        <v>19060800</v>
      </c>
    </row>
    <row r="17" spans="1:5" x14ac:dyDescent="0.2">
      <c r="A17" s="1060" t="s">
        <v>872</v>
      </c>
      <c r="B17" s="1061">
        <v>32552321</v>
      </c>
      <c r="C17" s="1078">
        <v>41321509</v>
      </c>
      <c r="D17" s="1079">
        <v>103134170</v>
      </c>
      <c r="E17" s="1064">
        <f t="shared" si="1"/>
        <v>177008000</v>
      </c>
    </row>
    <row r="18" spans="1:5" x14ac:dyDescent="0.2">
      <c r="A18" s="1060" t="s">
        <v>873</v>
      </c>
      <c r="B18" s="1061"/>
      <c r="C18" s="1078"/>
      <c r="D18" s="1079"/>
      <c r="E18" s="1064">
        <f t="shared" si="1"/>
        <v>0</v>
      </c>
    </row>
    <row r="19" spans="1:5" x14ac:dyDescent="0.2">
      <c r="A19" s="1060" t="s">
        <v>874</v>
      </c>
      <c r="B19" s="1061">
        <v>114173</v>
      </c>
      <c r="C19" s="1078">
        <v>8662831</v>
      </c>
      <c r="D19" s="1079">
        <v>10522996</v>
      </c>
      <c r="E19" s="1064">
        <f t="shared" si="1"/>
        <v>19300000</v>
      </c>
    </row>
    <row r="20" spans="1:5" ht="25.5" x14ac:dyDescent="0.2">
      <c r="A20" s="1060" t="s">
        <v>875</v>
      </c>
      <c r="B20" s="1061"/>
      <c r="C20" s="1078"/>
      <c r="D20" s="1079"/>
      <c r="E20" s="1064">
        <f t="shared" si="1"/>
        <v>0</v>
      </c>
    </row>
    <row r="21" spans="1:5" s="1160" customFormat="1" x14ac:dyDescent="0.2">
      <c r="A21" s="1066" t="s">
        <v>83</v>
      </c>
      <c r="B21" s="1067">
        <f>SUM(B15:B20)</f>
        <v>54451086</v>
      </c>
      <c r="C21" s="1068">
        <f>SUM(C15:C20)</f>
        <v>95198769</v>
      </c>
      <c r="D21" s="1080">
        <f>SUM(D15:D20)</f>
        <v>166038945</v>
      </c>
      <c r="E21" s="1159">
        <f t="shared" si="1"/>
        <v>315688800</v>
      </c>
    </row>
    <row r="22" spans="1:5" x14ac:dyDescent="0.2">
      <c r="A22" s="1049"/>
      <c r="B22" s="1081"/>
      <c r="C22" s="1046"/>
      <c r="D22" s="1047"/>
    </row>
    <row r="24" spans="1:5" x14ac:dyDescent="0.2">
      <c r="A24" s="1043"/>
      <c r="B24" s="1045" t="s">
        <v>876</v>
      </c>
      <c r="C24" s="1046"/>
      <c r="D24" s="1047"/>
    </row>
    <row r="25" spans="1:5" ht="25.5" x14ac:dyDescent="0.2">
      <c r="A25" s="1048" t="s">
        <v>859</v>
      </c>
      <c r="B25" s="2010" t="s">
        <v>877</v>
      </c>
      <c r="C25" s="2010"/>
      <c r="D25" s="2010"/>
    </row>
    <row r="26" spans="1:5" x14ac:dyDescent="0.2">
      <c r="A26" s="1049"/>
      <c r="B26" s="1050"/>
      <c r="C26" s="1051"/>
      <c r="D26" s="1052"/>
    </row>
    <row r="27" spans="1:5" x14ac:dyDescent="0.2">
      <c r="A27" s="1049"/>
      <c r="B27" s="1050"/>
      <c r="C27" s="1053"/>
      <c r="D27" s="1054"/>
    </row>
    <row r="28" spans="1:5" x14ac:dyDescent="0.2">
      <c r="A28" s="1055" t="s">
        <v>861</v>
      </c>
      <c r="B28" s="1056" t="s">
        <v>862</v>
      </c>
      <c r="C28" s="1057" t="s">
        <v>863</v>
      </c>
      <c r="D28" s="1058" t="s">
        <v>864</v>
      </c>
      <c r="E28" s="1059" t="s">
        <v>83</v>
      </c>
    </row>
    <row r="29" spans="1:5" x14ac:dyDescent="0.2">
      <c r="A29" s="1060" t="s">
        <v>865</v>
      </c>
      <c r="B29" s="1061"/>
      <c r="C29" s="1062">
        <v>0</v>
      </c>
      <c r="D29" s="1063">
        <v>618050000</v>
      </c>
      <c r="E29" s="1064">
        <f>SUM(B29:D29)</f>
        <v>618050000</v>
      </c>
    </row>
    <row r="30" spans="1:5" x14ac:dyDescent="0.2">
      <c r="A30" s="1060" t="s">
        <v>866</v>
      </c>
      <c r="B30" s="1061"/>
      <c r="C30" s="1062"/>
      <c r="D30" s="1065"/>
      <c r="E30" s="1064">
        <f t="shared" ref="E30:E32" si="2">SUM(B30:D30)</f>
        <v>0</v>
      </c>
    </row>
    <row r="31" spans="1:5" x14ac:dyDescent="0.2">
      <c r="A31" s="1060" t="s">
        <v>867</v>
      </c>
      <c r="B31" s="1061"/>
      <c r="C31" s="1062"/>
      <c r="D31" s="1065"/>
      <c r="E31" s="1064">
        <f t="shared" si="2"/>
        <v>0</v>
      </c>
    </row>
    <row r="32" spans="1:5" ht="25.5" x14ac:dyDescent="0.2">
      <c r="A32" s="1082" t="s">
        <v>878</v>
      </c>
      <c r="B32" s="1061"/>
      <c r="C32" s="1062">
        <v>0</v>
      </c>
      <c r="D32" s="1065">
        <f>D39+D42</f>
        <v>9541279</v>
      </c>
      <c r="E32" s="1064">
        <f t="shared" si="2"/>
        <v>9541279</v>
      </c>
    </row>
    <row r="33" spans="1:7" x14ac:dyDescent="0.2">
      <c r="A33" s="1066" t="s">
        <v>83</v>
      </c>
      <c r="B33" s="1067">
        <f>SUM(B29:B31)</f>
        <v>0</v>
      </c>
      <c r="C33" s="1067">
        <v>0</v>
      </c>
      <c r="D33" s="1067">
        <f>SUM(D29:D32)</f>
        <v>627591279</v>
      </c>
      <c r="E33" s="1067">
        <f>SUM(E29:E32)</f>
        <v>627591279</v>
      </c>
    </row>
    <row r="34" spans="1:7" x14ac:dyDescent="0.2">
      <c r="A34" s="1070"/>
      <c r="B34" s="1071"/>
      <c r="C34" s="1072"/>
      <c r="D34" s="1073"/>
      <c r="E34" s="1074"/>
    </row>
    <row r="35" spans="1:7" ht="38.25" x14ac:dyDescent="0.2">
      <c r="A35" s="1055" t="s">
        <v>868</v>
      </c>
      <c r="B35" s="1075" t="s">
        <v>869</v>
      </c>
      <c r="C35" s="1076" t="s">
        <v>934</v>
      </c>
      <c r="D35" s="1059" t="s">
        <v>864</v>
      </c>
      <c r="E35" s="1077" t="s">
        <v>83</v>
      </c>
    </row>
    <row r="36" spans="1:7" x14ac:dyDescent="0.2">
      <c r="A36" s="1082" t="s">
        <v>879</v>
      </c>
      <c r="B36" s="1061"/>
      <c r="C36" s="1078"/>
      <c r="D36" s="1079">
        <f>'5.tábla (2)'!D59</f>
        <v>6100000</v>
      </c>
      <c r="E36" s="1064">
        <f t="shared" ref="E36:E37" si="3">B36+C36</f>
        <v>0</v>
      </c>
    </row>
    <row r="37" spans="1:7" ht="25.5" x14ac:dyDescent="0.2">
      <c r="A37" s="1060" t="s">
        <v>871</v>
      </c>
      <c r="B37" s="1061"/>
      <c r="C37" s="1078"/>
      <c r="D37" s="1079">
        <f>'5.tábla (2)'!D72</f>
        <v>861930</v>
      </c>
      <c r="E37" s="1064">
        <f t="shared" si="3"/>
        <v>0</v>
      </c>
    </row>
    <row r="38" spans="1:7" x14ac:dyDescent="0.2">
      <c r="A38" s="1060" t="s">
        <v>872</v>
      </c>
      <c r="B38" s="1061"/>
      <c r="C38" s="1078">
        <v>0</v>
      </c>
      <c r="D38" s="1079">
        <f>21800000-D36-D37</f>
        <v>14838070</v>
      </c>
      <c r="E38" s="1064">
        <f>SUM(B38:D38)</f>
        <v>14838070</v>
      </c>
      <c r="F38" s="639"/>
    </row>
    <row r="39" spans="1:7" ht="25.5" x14ac:dyDescent="0.2">
      <c r="A39" s="1082" t="s">
        <v>878</v>
      </c>
      <c r="B39" s="1061"/>
      <c r="C39" s="1078"/>
      <c r="D39" s="1079">
        <f>5886000-1879721</f>
        <v>4006279</v>
      </c>
      <c r="E39" s="1064">
        <f>SUM(B39:D39)</f>
        <v>4006279</v>
      </c>
      <c r="F39" s="639">
        <f>SUM(D36:D39)</f>
        <v>25806279</v>
      </c>
      <c r="G39" s="639"/>
    </row>
    <row r="40" spans="1:7" x14ac:dyDescent="0.2">
      <c r="A40" s="1060" t="s">
        <v>873</v>
      </c>
      <c r="B40" s="1061"/>
      <c r="C40" s="1078"/>
      <c r="D40" s="1079"/>
      <c r="E40" s="1064">
        <f t="shared" ref="E40:E42" si="4">SUM(B40:D40)</f>
        <v>0</v>
      </c>
    </row>
    <row r="41" spans="1:7" x14ac:dyDescent="0.2">
      <c r="A41" s="1060" t="s">
        <v>874</v>
      </c>
      <c r="B41" s="1061"/>
      <c r="C41" s="1078">
        <v>0</v>
      </c>
      <c r="D41" s="1079">
        <v>596250000</v>
      </c>
      <c r="E41" s="1064">
        <f t="shared" si="4"/>
        <v>596250000</v>
      </c>
      <c r="F41" s="639">
        <f>SUM(D41:D42)</f>
        <v>601785000</v>
      </c>
    </row>
    <row r="42" spans="1:7" ht="25.5" x14ac:dyDescent="0.2">
      <c r="A42" s="1082" t="s">
        <v>878</v>
      </c>
      <c r="B42" s="1061"/>
      <c r="C42" s="1078">
        <v>0</v>
      </c>
      <c r="D42" s="1079">
        <v>5535000</v>
      </c>
      <c r="E42" s="1064">
        <f t="shared" si="4"/>
        <v>5535000</v>
      </c>
    </row>
    <row r="43" spans="1:7" s="1160" customFormat="1" x14ac:dyDescent="0.2">
      <c r="A43" s="1066" t="s">
        <v>83</v>
      </c>
      <c r="B43" s="1067">
        <f>SUM(B36:B42)</f>
        <v>0</v>
      </c>
      <c r="C43" s="1068">
        <f>SUM(C36:C42)</f>
        <v>0</v>
      </c>
      <c r="D43" s="1080">
        <f>SUM(D36:D42)</f>
        <v>627591279</v>
      </c>
      <c r="E43" s="1159">
        <f>SUM(B43:D43)</f>
        <v>627591279</v>
      </c>
      <c r="F43" s="1541">
        <f>E33-E43</f>
        <v>0</v>
      </c>
    </row>
    <row r="44" spans="1:7" x14ac:dyDescent="0.2">
      <c r="A44" s="1083"/>
      <c r="B44" s="1047"/>
      <c r="C44" s="1084"/>
      <c r="D44" s="1084"/>
    </row>
    <row r="46" spans="1:7" ht="18.75" customHeight="1" x14ac:dyDescent="0.2">
      <c r="A46" s="1043"/>
      <c r="B46" s="1045"/>
      <c r="C46" s="1046"/>
      <c r="D46" s="1047"/>
    </row>
    <row r="47" spans="1:7" ht="18.75" customHeight="1" x14ac:dyDescent="0.2">
      <c r="A47" s="1043"/>
      <c r="B47" s="1045" t="s">
        <v>880</v>
      </c>
      <c r="C47" s="1046"/>
      <c r="D47" s="1047"/>
    </row>
    <row r="48" spans="1:7" ht="25.5" x14ac:dyDescent="0.2">
      <c r="A48" s="1048" t="s">
        <v>859</v>
      </c>
      <c r="B48" s="2010" t="s">
        <v>881</v>
      </c>
      <c r="C48" s="2010"/>
      <c r="D48" s="2010"/>
    </row>
    <row r="49" spans="1:5" x14ac:dyDescent="0.2">
      <c r="A49" s="1049"/>
      <c r="B49" s="1050"/>
      <c r="C49" s="1051"/>
      <c r="D49" s="1052"/>
    </row>
    <row r="50" spans="1:5" x14ac:dyDescent="0.2">
      <c r="A50" s="1049"/>
      <c r="B50" s="1050"/>
      <c r="C50" s="1053"/>
      <c r="D50" s="1054"/>
    </row>
    <row r="51" spans="1:5" x14ac:dyDescent="0.2">
      <c r="A51" s="1055" t="s">
        <v>861</v>
      </c>
      <c r="B51" s="1056" t="s">
        <v>862</v>
      </c>
      <c r="C51" s="1057" t="s">
        <v>863</v>
      </c>
      <c r="D51" s="1058" t="s">
        <v>864</v>
      </c>
      <c r="E51" s="1059" t="s">
        <v>83</v>
      </c>
    </row>
    <row r="52" spans="1:5" x14ac:dyDescent="0.2">
      <c r="A52" s="1060" t="s">
        <v>865</v>
      </c>
      <c r="B52" s="1061">
        <v>16476045</v>
      </c>
      <c r="C52" s="1062">
        <v>0</v>
      </c>
      <c r="D52" s="1063">
        <v>23323900</v>
      </c>
      <c r="E52" s="1064">
        <f>SUM(B52:D52)</f>
        <v>39799945</v>
      </c>
    </row>
    <row r="53" spans="1:5" x14ac:dyDescent="0.2">
      <c r="A53" s="1060" t="s">
        <v>866</v>
      </c>
      <c r="B53" s="1061"/>
      <c r="C53" s="1062"/>
      <c r="D53" s="1065"/>
      <c r="E53" s="1064">
        <f t="shared" ref="E53:E55" si="5">SUM(B53:D53)</f>
        <v>0</v>
      </c>
    </row>
    <row r="54" spans="1:5" x14ac:dyDescent="0.2">
      <c r="A54" s="1060" t="s">
        <v>867</v>
      </c>
      <c r="B54" s="1061"/>
      <c r="C54" s="1062">
        <f>B64+C64-B52</f>
        <v>128513408</v>
      </c>
      <c r="D54" s="1065">
        <f>E64-E52-C54</f>
        <v>20314340</v>
      </c>
      <c r="E54" s="1064">
        <f t="shared" si="5"/>
        <v>148827748</v>
      </c>
    </row>
    <row r="55" spans="1:5" s="1160" customFormat="1" x14ac:dyDescent="0.2">
      <c r="A55" s="1066" t="s">
        <v>83</v>
      </c>
      <c r="B55" s="1067">
        <f>SUM(B52:B54)</f>
        <v>16476045</v>
      </c>
      <c r="C55" s="1067">
        <f>SUM(C52:C54)</f>
        <v>128513408</v>
      </c>
      <c r="D55" s="1068">
        <f>SUM(D52:D54)</f>
        <v>43638240</v>
      </c>
      <c r="E55" s="1159">
        <f t="shared" si="5"/>
        <v>188627693</v>
      </c>
    </row>
    <row r="56" spans="1:5" x14ac:dyDescent="0.2">
      <c r="A56" s="1070"/>
      <c r="B56" s="1071"/>
      <c r="C56" s="1072"/>
      <c r="D56" s="1073"/>
      <c r="E56" s="1074"/>
    </row>
    <row r="57" spans="1:5" ht="38.25" x14ac:dyDescent="0.2">
      <c r="A57" s="1055" t="s">
        <v>868</v>
      </c>
      <c r="B57" s="1075" t="s">
        <v>869</v>
      </c>
      <c r="C57" s="1076" t="s">
        <v>934</v>
      </c>
      <c r="D57" s="1059" t="s">
        <v>864</v>
      </c>
      <c r="E57" s="1077" t="s">
        <v>83</v>
      </c>
    </row>
    <row r="58" spans="1:5" x14ac:dyDescent="0.2">
      <c r="A58" s="1082" t="s">
        <v>879</v>
      </c>
      <c r="B58" s="1061">
        <v>1027780</v>
      </c>
      <c r="C58" s="1078">
        <v>822780</v>
      </c>
      <c r="D58" s="1079">
        <v>762000</v>
      </c>
      <c r="E58" s="1064">
        <f t="shared" ref="E58:E63" si="6">SUM(B58:D58)</f>
        <v>2612560</v>
      </c>
    </row>
    <row r="59" spans="1:5" ht="25.5" x14ac:dyDescent="0.2">
      <c r="A59" s="1060" t="s">
        <v>871</v>
      </c>
      <c r="B59" s="1061">
        <v>205534</v>
      </c>
      <c r="C59" s="1078">
        <v>249214</v>
      </c>
      <c r="D59" s="1079">
        <v>120016</v>
      </c>
      <c r="E59" s="1064">
        <f t="shared" si="6"/>
        <v>574764</v>
      </c>
    </row>
    <row r="60" spans="1:5" x14ac:dyDescent="0.2">
      <c r="A60" s="1060" t="s">
        <v>872</v>
      </c>
      <c r="B60" s="1061">
        <v>0</v>
      </c>
      <c r="C60" s="1078">
        <v>127000</v>
      </c>
      <c r="D60" s="1079">
        <v>298450</v>
      </c>
      <c r="E60" s="1064">
        <f t="shared" si="6"/>
        <v>425450</v>
      </c>
    </row>
    <row r="61" spans="1:5" x14ac:dyDescent="0.2">
      <c r="A61" s="1060" t="s">
        <v>873</v>
      </c>
      <c r="B61" s="1061"/>
      <c r="C61" s="1078"/>
      <c r="D61" s="1079"/>
      <c r="E61" s="1064">
        <f t="shared" si="6"/>
        <v>0</v>
      </c>
    </row>
    <row r="62" spans="1:5" x14ac:dyDescent="0.2">
      <c r="A62" s="1060" t="s">
        <v>874</v>
      </c>
      <c r="B62" s="1061">
        <v>13168209</v>
      </c>
      <c r="C62" s="1078">
        <v>102298006</v>
      </c>
      <c r="D62" s="1079">
        <v>33427464</v>
      </c>
      <c r="E62" s="1064">
        <f t="shared" si="6"/>
        <v>148893679</v>
      </c>
    </row>
    <row r="63" spans="1:5" ht="25.5" x14ac:dyDescent="0.2">
      <c r="A63" s="1082" t="s">
        <v>882</v>
      </c>
      <c r="B63" s="1061"/>
      <c r="C63" s="1078">
        <v>27090930</v>
      </c>
      <c r="D63" s="1085">
        <v>9030310</v>
      </c>
      <c r="E63" s="1064">
        <f t="shared" si="6"/>
        <v>36121240</v>
      </c>
    </row>
    <row r="64" spans="1:5" x14ac:dyDescent="0.2">
      <c r="A64" s="1066" t="s">
        <v>83</v>
      </c>
      <c r="B64" s="1067">
        <f>SUM(B58:B62)</f>
        <v>14401523</v>
      </c>
      <c r="C64" s="1068">
        <f>SUM(C58:C63)</f>
        <v>130587930</v>
      </c>
      <c r="D64" s="1068">
        <f>SUM(D58:D63)</f>
        <v>43638240</v>
      </c>
      <c r="E64" s="1080">
        <f>SUM(E58:E63)</f>
        <v>188627693</v>
      </c>
    </row>
    <row r="65" spans="1:5" x14ac:dyDescent="0.2">
      <c r="A65" s="1171"/>
      <c r="B65" s="1169"/>
      <c r="C65" s="1169"/>
      <c r="D65" s="1169"/>
      <c r="E65" s="1169"/>
    </row>
    <row r="67" spans="1:5" x14ac:dyDescent="0.2">
      <c r="A67" s="1043"/>
      <c r="B67" s="1045" t="s">
        <v>883</v>
      </c>
      <c r="C67" s="1046"/>
      <c r="D67" s="1047"/>
    </row>
    <row r="68" spans="1:5" ht="25.5" x14ac:dyDescent="0.2">
      <c r="A68" s="1048" t="s">
        <v>859</v>
      </c>
      <c r="B68" s="2010" t="s">
        <v>884</v>
      </c>
      <c r="C68" s="2010"/>
      <c r="D68" s="2010"/>
    </row>
    <row r="69" spans="1:5" x14ac:dyDescent="0.2">
      <c r="A69" s="1049"/>
      <c r="B69" s="1050"/>
      <c r="C69" s="1051"/>
      <c r="D69" s="1052"/>
    </row>
    <row r="70" spans="1:5" x14ac:dyDescent="0.2">
      <c r="A70" s="1049"/>
      <c r="B70" s="1050"/>
      <c r="C70" s="1053"/>
      <c r="D70" s="1054"/>
    </row>
    <row r="71" spans="1:5" x14ac:dyDescent="0.2">
      <c r="A71" s="1055" t="s">
        <v>861</v>
      </c>
      <c r="B71" s="1056" t="s">
        <v>862</v>
      </c>
      <c r="C71" s="1057" t="s">
        <v>863</v>
      </c>
      <c r="D71" s="1058" t="s">
        <v>864</v>
      </c>
      <c r="E71" s="1059" t="s">
        <v>83</v>
      </c>
    </row>
    <row r="72" spans="1:5" x14ac:dyDescent="0.2">
      <c r="A72" s="1060" t="s">
        <v>865</v>
      </c>
      <c r="B72" s="1061">
        <v>127508000</v>
      </c>
      <c r="C72" s="1062"/>
      <c r="D72" s="1063"/>
      <c r="E72" s="1064">
        <f>SUM(B72:D73)</f>
        <v>127508000</v>
      </c>
    </row>
    <row r="73" spans="1:5" x14ac:dyDescent="0.2">
      <c r="A73" s="1060" t="s">
        <v>866</v>
      </c>
      <c r="B73" s="1061"/>
      <c r="C73" s="1062"/>
      <c r="D73" s="1065"/>
      <c r="E73" s="1064"/>
    </row>
    <row r="74" spans="1:5" x14ac:dyDescent="0.2">
      <c r="A74" s="1060" t="s">
        <v>867</v>
      </c>
      <c r="B74" s="1061"/>
      <c r="C74" s="1062">
        <f>C84+B84-B72</f>
        <v>25012850</v>
      </c>
      <c r="D74" s="1065">
        <f>E84-E72-C74</f>
        <v>5954123</v>
      </c>
      <c r="E74" s="1064">
        <f>SUM(B74:D74)</f>
        <v>30966973</v>
      </c>
    </row>
    <row r="75" spans="1:5" x14ac:dyDescent="0.2">
      <c r="A75" s="1066" t="s">
        <v>83</v>
      </c>
      <c r="B75" s="1067">
        <f>SUM(B72:B74)</f>
        <v>127508000</v>
      </c>
      <c r="C75" s="1067">
        <f>SUM(C72:C74)</f>
        <v>25012850</v>
      </c>
      <c r="D75" s="1068">
        <f>SUM(D72:D74)</f>
        <v>5954123</v>
      </c>
      <c r="E75" s="1159">
        <f>B75+C75+D75</f>
        <v>158474973</v>
      </c>
    </row>
    <row r="76" spans="1:5" x14ac:dyDescent="0.2">
      <c r="A76" s="1070"/>
      <c r="B76" s="1071"/>
      <c r="C76" s="1072"/>
      <c r="D76" s="1073"/>
      <c r="E76" s="1074"/>
    </row>
    <row r="77" spans="1:5" ht="38.25" x14ac:dyDescent="0.2">
      <c r="A77" s="1055" t="s">
        <v>868</v>
      </c>
      <c r="B77" s="1075" t="s">
        <v>869</v>
      </c>
      <c r="C77" s="1076" t="s">
        <v>934</v>
      </c>
      <c r="D77" s="1059" t="s">
        <v>864</v>
      </c>
      <c r="E77" s="1077" t="s">
        <v>83</v>
      </c>
    </row>
    <row r="78" spans="1:5" x14ac:dyDescent="0.2">
      <c r="A78" s="1082" t="s">
        <v>879</v>
      </c>
      <c r="B78" s="1061"/>
      <c r="C78" s="1078"/>
      <c r="D78" s="1079"/>
      <c r="E78" s="1064"/>
    </row>
    <row r="79" spans="1:5" ht="25.5" x14ac:dyDescent="0.2">
      <c r="A79" s="1060" t="s">
        <v>871</v>
      </c>
      <c r="B79" s="1061"/>
      <c r="C79" s="1089"/>
      <c r="D79" s="1079"/>
      <c r="E79" s="1064"/>
    </row>
    <row r="80" spans="1:5" x14ac:dyDescent="0.2">
      <c r="A80" s="1060" t="s">
        <v>872</v>
      </c>
      <c r="B80" s="1065">
        <v>635000</v>
      </c>
      <c r="C80" s="1161">
        <v>1418200</v>
      </c>
      <c r="D80" s="1162">
        <v>1418200</v>
      </c>
      <c r="E80" s="1064">
        <f>SUM(B80:D80)</f>
        <v>3471400</v>
      </c>
    </row>
    <row r="81" spans="1:5" x14ac:dyDescent="0.2">
      <c r="A81" s="1060" t="s">
        <v>873</v>
      </c>
      <c r="B81" s="1065"/>
      <c r="C81" s="1161"/>
      <c r="D81" s="1162"/>
      <c r="E81" s="1064">
        <f t="shared" ref="E81:E83" si="7">SUM(B81:D81)</f>
        <v>0</v>
      </c>
    </row>
    <row r="82" spans="1:5" x14ac:dyDescent="0.2">
      <c r="A82" s="1060" t="s">
        <v>874</v>
      </c>
      <c r="B82" s="1065">
        <v>29035603</v>
      </c>
      <c r="C82" s="1161">
        <v>103288356</v>
      </c>
      <c r="D82" s="1162"/>
      <c r="E82" s="1064">
        <f t="shared" si="7"/>
        <v>132323959</v>
      </c>
    </row>
    <row r="83" spans="1:5" ht="25.5" x14ac:dyDescent="0.2">
      <c r="A83" s="1082" t="s">
        <v>882</v>
      </c>
      <c r="B83" s="1065"/>
      <c r="C83" s="1161">
        <v>18143691</v>
      </c>
      <c r="D83" s="1163">
        <v>4535923</v>
      </c>
      <c r="E83" s="1064">
        <f t="shared" si="7"/>
        <v>22679614</v>
      </c>
    </row>
    <row r="84" spans="1:5" x14ac:dyDescent="0.2">
      <c r="A84" s="1066" t="s">
        <v>83</v>
      </c>
      <c r="B84" s="1068">
        <f>SUM(B78:B83)</f>
        <v>29670603</v>
      </c>
      <c r="C84" s="1068">
        <f t="shared" ref="C84:E84" si="8">SUM(C78:C83)</f>
        <v>122850247</v>
      </c>
      <c r="D84" s="1068">
        <f t="shared" si="8"/>
        <v>5954123</v>
      </c>
      <c r="E84" s="1625">
        <f t="shared" si="8"/>
        <v>158474973</v>
      </c>
    </row>
    <row r="85" spans="1:5" x14ac:dyDescent="0.2">
      <c r="C85" s="1164"/>
    </row>
    <row r="86" spans="1:5" x14ac:dyDescent="0.2">
      <c r="C86" s="1164"/>
      <c r="E86" s="1164"/>
    </row>
    <row r="87" spans="1:5" x14ac:dyDescent="0.2">
      <c r="C87" s="1164"/>
    </row>
    <row r="88" spans="1:5" ht="17.25" customHeight="1" x14ac:dyDescent="0.2">
      <c r="A88" s="1043"/>
      <c r="B88" s="1045"/>
      <c r="C88" s="1046"/>
      <c r="D88" s="1047"/>
    </row>
    <row r="89" spans="1:5" ht="17.25" customHeight="1" x14ac:dyDescent="0.2">
      <c r="A89" s="1043"/>
      <c r="B89" s="1045"/>
      <c r="C89" s="1046"/>
      <c r="D89" s="1047"/>
    </row>
    <row r="90" spans="1:5" ht="17.25" customHeight="1" x14ac:dyDescent="0.2">
      <c r="A90" s="1043"/>
      <c r="B90" s="1045" t="s">
        <v>885</v>
      </c>
      <c r="C90" s="1046"/>
      <c r="D90" s="1047"/>
    </row>
    <row r="91" spans="1:5" ht="25.5" x14ac:dyDescent="0.2">
      <c r="A91" s="1048" t="s">
        <v>859</v>
      </c>
      <c r="B91" s="2010" t="s">
        <v>886</v>
      </c>
      <c r="C91" s="2010"/>
      <c r="D91" s="2010"/>
    </row>
    <row r="92" spans="1:5" x14ac:dyDescent="0.2">
      <c r="A92" s="1049"/>
      <c r="B92" s="1050"/>
      <c r="C92" s="1051"/>
      <c r="D92" s="1052"/>
    </row>
    <row r="93" spans="1:5" x14ac:dyDescent="0.2">
      <c r="A93" s="1049"/>
      <c r="B93" s="1050"/>
      <c r="C93" s="1053"/>
      <c r="D93" s="1054"/>
    </row>
    <row r="94" spans="1:5" x14ac:dyDescent="0.2">
      <c r="A94" s="1055" t="s">
        <v>861</v>
      </c>
      <c r="B94" s="1056" t="s">
        <v>862</v>
      </c>
      <c r="C94" s="1057" t="s">
        <v>863</v>
      </c>
      <c r="D94" s="1058" t="s">
        <v>864</v>
      </c>
      <c r="E94" s="1059" t="s">
        <v>83</v>
      </c>
    </row>
    <row r="95" spans="1:5" x14ac:dyDescent="0.2">
      <c r="A95" s="1060" t="s">
        <v>865</v>
      </c>
      <c r="B95" s="1061">
        <v>987794940</v>
      </c>
      <c r="C95" s="1062"/>
      <c r="D95" s="1063">
        <v>2385001</v>
      </c>
      <c r="E95" s="1064">
        <f>SUM(B95:D95)</f>
        <v>990179941</v>
      </c>
    </row>
    <row r="96" spans="1:5" x14ac:dyDescent="0.2">
      <c r="A96" s="1060" t="s">
        <v>866</v>
      </c>
      <c r="B96" s="1061"/>
      <c r="C96" s="1062"/>
      <c r="D96" s="1065"/>
      <c r="E96" s="1064">
        <f t="shared" ref="E96:E98" si="9">SUM(B96:D96)</f>
        <v>0</v>
      </c>
    </row>
    <row r="97" spans="1:7" x14ac:dyDescent="0.2">
      <c r="A97" s="1060" t="s">
        <v>867</v>
      </c>
      <c r="B97" s="1061">
        <v>56522236</v>
      </c>
      <c r="C97" s="1062">
        <f>B110+C110-B99-C98</f>
        <v>569363575</v>
      </c>
      <c r="D97" s="1065">
        <v>32336780</v>
      </c>
      <c r="E97" s="1064">
        <f t="shared" si="9"/>
        <v>658222591</v>
      </c>
    </row>
    <row r="98" spans="1:7" ht="25.5" x14ac:dyDescent="0.2">
      <c r="A98" s="1082" t="s">
        <v>878</v>
      </c>
      <c r="B98" s="1061">
        <v>1696799</v>
      </c>
      <c r="C98" s="1062">
        <v>1085400</v>
      </c>
      <c r="D98" s="1065">
        <f>D105+D109</f>
        <v>6685605</v>
      </c>
      <c r="E98" s="1064">
        <f t="shared" si="9"/>
        <v>9467804</v>
      </c>
    </row>
    <row r="99" spans="1:7" x14ac:dyDescent="0.2">
      <c r="A99" s="1066" t="s">
        <v>83</v>
      </c>
      <c r="B99" s="1067">
        <f>SUM(B95:B98)</f>
        <v>1046013975</v>
      </c>
      <c r="C99" s="1067">
        <f t="shared" ref="C99:E99" si="10">SUM(C95:C98)</f>
        <v>570448975</v>
      </c>
      <c r="D99" s="1067">
        <f t="shared" si="10"/>
        <v>41407386</v>
      </c>
      <c r="E99" s="1067">
        <f t="shared" si="10"/>
        <v>1657870336</v>
      </c>
    </row>
    <row r="100" spans="1:7" x14ac:dyDescent="0.2">
      <c r="A100" s="1070"/>
      <c r="B100" s="1071"/>
      <c r="C100" s="1072"/>
      <c r="D100" s="1073"/>
      <c r="E100" s="1074"/>
    </row>
    <row r="101" spans="1:7" ht="38.25" x14ac:dyDescent="0.2">
      <c r="A101" s="1055" t="s">
        <v>868</v>
      </c>
      <c r="B101" s="1075" t="s">
        <v>869</v>
      </c>
      <c r="C101" s="1076" t="s">
        <v>934</v>
      </c>
      <c r="D101" s="1059" t="s">
        <v>864</v>
      </c>
      <c r="E101" s="1077" t="s">
        <v>83</v>
      </c>
    </row>
    <row r="102" spans="1:7" x14ac:dyDescent="0.2">
      <c r="A102" s="1082" t="s">
        <v>879</v>
      </c>
      <c r="B102" s="1061">
        <v>2205189</v>
      </c>
      <c r="C102" s="1078">
        <v>1033686</v>
      </c>
      <c r="D102" s="1079">
        <v>1081125</v>
      </c>
      <c r="E102" s="1064">
        <f>SUM(B102:D102)</f>
        <v>4320000</v>
      </c>
    </row>
    <row r="103" spans="1:7" ht="25.5" x14ac:dyDescent="0.2">
      <c r="A103" s="1060" t="s">
        <v>871</v>
      </c>
      <c r="B103" s="1061">
        <v>430012</v>
      </c>
      <c r="C103" s="1078">
        <v>191232</v>
      </c>
      <c r="D103" s="1079">
        <v>329156</v>
      </c>
      <c r="E103" s="1064">
        <f t="shared" ref="E103:E109" si="11">SUM(B103:D103)</f>
        <v>950400</v>
      </c>
    </row>
    <row r="104" spans="1:7" x14ac:dyDescent="0.2">
      <c r="A104" s="1060" t="s">
        <v>872</v>
      </c>
      <c r="B104" s="1061">
        <v>2038500</v>
      </c>
      <c r="C104" s="1078">
        <v>0</v>
      </c>
      <c r="D104" s="1079">
        <v>21961500</v>
      </c>
      <c r="E104" s="1064">
        <f t="shared" si="11"/>
        <v>24000000</v>
      </c>
      <c r="F104" s="639">
        <f>SUM(D104:D105)</f>
        <v>27891105</v>
      </c>
    </row>
    <row r="105" spans="1:7" ht="25.5" x14ac:dyDescent="0.2">
      <c r="A105" s="1082" t="s">
        <v>878</v>
      </c>
      <c r="B105" s="1061"/>
      <c r="C105" s="1078"/>
      <c r="D105" s="1079">
        <f>6685605-D109</f>
        <v>5929605</v>
      </c>
      <c r="E105" s="1064">
        <f t="shared" si="11"/>
        <v>5929605</v>
      </c>
    </row>
    <row r="106" spans="1:7" x14ac:dyDescent="0.2">
      <c r="A106" s="1060" t="s">
        <v>873</v>
      </c>
      <c r="B106" s="1061"/>
      <c r="C106" s="1078"/>
      <c r="D106" s="1079"/>
      <c r="E106" s="1064">
        <f t="shared" si="11"/>
        <v>0</v>
      </c>
    </row>
    <row r="107" spans="1:7" x14ac:dyDescent="0.2">
      <c r="A107" s="1060" t="s">
        <v>874</v>
      </c>
      <c r="B107" s="1061">
        <v>403925434</v>
      </c>
      <c r="C107" s="1078">
        <v>1158587245</v>
      </c>
      <c r="D107" s="1079">
        <v>11350000</v>
      </c>
      <c r="E107" s="1064">
        <f t="shared" si="11"/>
        <v>1573862679</v>
      </c>
      <c r="F107" s="639">
        <f>SUM(D107:D109)</f>
        <v>12106000</v>
      </c>
    </row>
    <row r="108" spans="1:7" x14ac:dyDescent="0.2">
      <c r="A108" s="1082" t="s">
        <v>887</v>
      </c>
      <c r="B108" s="1061">
        <v>7822586</v>
      </c>
      <c r="C108" s="1078">
        <v>37446867</v>
      </c>
      <c r="D108" s="1079"/>
      <c r="E108" s="1064">
        <f t="shared" si="11"/>
        <v>45269453</v>
      </c>
    </row>
    <row r="109" spans="1:7" ht="25.5" x14ac:dyDescent="0.2">
      <c r="A109" s="1082" t="s">
        <v>878</v>
      </c>
      <c r="B109" s="1061">
        <v>1696799</v>
      </c>
      <c r="C109" s="1078">
        <v>1085400</v>
      </c>
      <c r="D109" s="1079">
        <v>756000</v>
      </c>
      <c r="E109" s="1064">
        <f t="shared" si="11"/>
        <v>3538199</v>
      </c>
    </row>
    <row r="110" spans="1:7" s="1015" customFormat="1" x14ac:dyDescent="0.2">
      <c r="A110" s="1066" t="s">
        <v>83</v>
      </c>
      <c r="B110" s="1067">
        <f>SUM(B102:B109)</f>
        <v>418118520</v>
      </c>
      <c r="C110" s="1067">
        <f>SUM(C102:C109)</f>
        <v>1198344430</v>
      </c>
      <c r="D110" s="1080">
        <f>SUM(D102:D109)</f>
        <v>41407386</v>
      </c>
      <c r="E110" s="1159">
        <f>SUM(E102:E109)</f>
        <v>1657870336</v>
      </c>
      <c r="G110" s="1014">
        <f>E99-E110</f>
        <v>0</v>
      </c>
    </row>
    <row r="113" spans="1:6" x14ac:dyDescent="0.2">
      <c r="A113" s="1043"/>
      <c r="B113" s="1045" t="s">
        <v>888</v>
      </c>
      <c r="C113" s="1046"/>
      <c r="D113" s="1047"/>
    </row>
    <row r="114" spans="1:6" ht="25.5" x14ac:dyDescent="0.2">
      <c r="A114" s="1048" t="s">
        <v>859</v>
      </c>
      <c r="B114" s="2010" t="s">
        <v>889</v>
      </c>
      <c r="C114" s="2010"/>
      <c r="D114" s="2010"/>
    </row>
    <row r="115" spans="1:6" x14ac:dyDescent="0.2">
      <c r="A115" s="1049"/>
      <c r="B115" s="1050"/>
      <c r="C115" s="1051"/>
      <c r="D115" s="1052"/>
    </row>
    <row r="116" spans="1:6" x14ac:dyDescent="0.2">
      <c r="A116" s="1049"/>
      <c r="B116" s="1050"/>
      <c r="C116" s="1053"/>
      <c r="D116" s="1054"/>
    </row>
    <row r="117" spans="1:6" x14ac:dyDescent="0.2">
      <c r="A117" s="1055" t="s">
        <v>861</v>
      </c>
      <c r="B117" s="1056" t="s">
        <v>862</v>
      </c>
      <c r="C117" s="1057" t="s">
        <v>863</v>
      </c>
      <c r="D117" s="1058" t="s">
        <v>864</v>
      </c>
      <c r="E117" s="1059" t="s">
        <v>83</v>
      </c>
    </row>
    <row r="118" spans="1:6" x14ac:dyDescent="0.2">
      <c r="A118" s="1060" t="s">
        <v>865</v>
      </c>
      <c r="B118" s="1061">
        <v>735733678</v>
      </c>
      <c r="C118" s="1062"/>
      <c r="D118" s="1065">
        <f>34529178+248823878</f>
        <v>283353056</v>
      </c>
      <c r="E118" s="1165">
        <f>B118:B121+D118:D121</f>
        <v>1019086734</v>
      </c>
    </row>
    <row r="119" spans="1:6" x14ac:dyDescent="0.2">
      <c r="A119" s="1060" t="s">
        <v>866</v>
      </c>
      <c r="B119" s="1061"/>
      <c r="C119" s="1062"/>
      <c r="D119" s="1065"/>
      <c r="E119" s="1165">
        <f t="shared" ref="E119:E120" si="12">B119:B122+D119:D122</f>
        <v>0</v>
      </c>
    </row>
    <row r="120" spans="1:6" x14ac:dyDescent="0.2">
      <c r="A120" s="1060" t="s">
        <v>867</v>
      </c>
      <c r="B120" s="1061"/>
      <c r="C120" s="1062"/>
      <c r="D120" s="1065"/>
      <c r="E120" s="1165">
        <f t="shared" si="12"/>
        <v>0</v>
      </c>
    </row>
    <row r="121" spans="1:6" ht="25.5" x14ac:dyDescent="0.2">
      <c r="A121" s="1082" t="s">
        <v>878</v>
      </c>
      <c r="B121" s="1065">
        <f t="shared" ref="B121:C121" si="13">B128+B131</f>
        <v>1803488</v>
      </c>
      <c r="C121" s="1065">
        <f t="shared" si="13"/>
        <v>3684778</v>
      </c>
      <c r="D121" s="1065">
        <f>D128+D131</f>
        <v>31112991</v>
      </c>
      <c r="E121" s="1165">
        <f>SUM(B121:D121)</f>
        <v>36601257</v>
      </c>
    </row>
    <row r="122" spans="1:6" x14ac:dyDescent="0.2">
      <c r="A122" s="1066" t="s">
        <v>83</v>
      </c>
      <c r="B122" s="1067">
        <f>SUM(B118:B121)</f>
        <v>737537166</v>
      </c>
      <c r="C122" s="1067">
        <f>SUM(C118:C121)</f>
        <v>3684778</v>
      </c>
      <c r="D122" s="1067">
        <f>SUM(D118:D121)</f>
        <v>314466047</v>
      </c>
      <c r="E122" s="1067">
        <f>SUM(E118:E121)</f>
        <v>1055687991</v>
      </c>
    </row>
    <row r="123" spans="1:6" x14ac:dyDescent="0.2">
      <c r="A123" s="1070"/>
      <c r="B123" s="1071"/>
      <c r="C123" s="1072"/>
      <c r="D123" s="1073"/>
      <c r="E123" s="1074"/>
    </row>
    <row r="124" spans="1:6" ht="38.25" x14ac:dyDescent="0.2">
      <c r="A124" s="1055" t="s">
        <v>868</v>
      </c>
      <c r="B124" s="1075" t="s">
        <v>869</v>
      </c>
      <c r="C124" s="1076" t="s">
        <v>934</v>
      </c>
      <c r="D124" s="1059" t="s">
        <v>864</v>
      </c>
      <c r="E124" s="1077" t="s">
        <v>83</v>
      </c>
    </row>
    <row r="125" spans="1:6" x14ac:dyDescent="0.2">
      <c r="A125" s="1082" t="s">
        <v>879</v>
      </c>
      <c r="B125" s="1061"/>
      <c r="C125" s="1078"/>
      <c r="D125" s="1079"/>
      <c r="E125" s="1064">
        <f>B125+C125</f>
        <v>0</v>
      </c>
    </row>
    <row r="126" spans="1:6" ht="25.5" x14ac:dyDescent="0.2">
      <c r="A126" s="1060" t="s">
        <v>871</v>
      </c>
      <c r="B126" s="1061"/>
      <c r="C126" s="1078"/>
      <c r="D126" s="1079"/>
      <c r="E126" s="1064">
        <f>B126+C126</f>
        <v>0</v>
      </c>
    </row>
    <row r="127" spans="1:6" x14ac:dyDescent="0.2">
      <c r="A127" s="1060" t="s">
        <v>872</v>
      </c>
      <c r="B127" s="1061"/>
      <c r="C127" s="1078">
        <v>2540050</v>
      </c>
      <c r="D127" s="1079">
        <f>6359950-1351450</f>
        <v>5008500</v>
      </c>
      <c r="E127" s="1064">
        <f>SUM(B127:D127)</f>
        <v>7548550</v>
      </c>
      <c r="F127" s="639">
        <f>SUM(D127:D128)</f>
        <v>6236595</v>
      </c>
    </row>
    <row r="128" spans="1:6" ht="25.5" x14ac:dyDescent="0.2">
      <c r="A128" s="1082" t="s">
        <v>878</v>
      </c>
      <c r="B128" s="1061"/>
      <c r="C128" s="1078">
        <v>675014</v>
      </c>
      <c r="D128" s="1079">
        <f>2268000-675014-364891</f>
        <v>1228095</v>
      </c>
      <c r="E128" s="1064">
        <f>SUM(B128:D128)</f>
        <v>1903109</v>
      </c>
    </row>
    <row r="129" spans="1:6" x14ac:dyDescent="0.2">
      <c r="A129" s="1060" t="s">
        <v>873</v>
      </c>
      <c r="B129" s="1061"/>
      <c r="C129" s="1078"/>
      <c r="D129" s="1079"/>
      <c r="E129" s="1064">
        <f>SUM(B129:D129)</f>
        <v>0</v>
      </c>
    </row>
    <row r="130" spans="1:6" x14ac:dyDescent="0.2">
      <c r="A130" s="1060" t="s">
        <v>874</v>
      </c>
      <c r="B130" s="1061">
        <v>6679584</v>
      </c>
      <c r="C130" s="1078">
        <v>11147274</v>
      </c>
      <c r="D130" s="1079">
        <f>743535998+248823878+1351450</f>
        <v>993711326</v>
      </c>
      <c r="E130" s="1064">
        <f>SUM(B130:D130)</f>
        <v>1011538184</v>
      </c>
      <c r="F130" s="639">
        <f>SUM(D130:D131)</f>
        <v>1023596222</v>
      </c>
    </row>
    <row r="131" spans="1:6" ht="25.5" x14ac:dyDescent="0.2">
      <c r="A131" s="1082" t="s">
        <v>878</v>
      </c>
      <c r="B131" s="1061">
        <v>1803488</v>
      </c>
      <c r="C131" s="1078">
        <f>3684778-C128</f>
        <v>3009764</v>
      </c>
      <c r="D131" s="1079">
        <f>29660796+224100</f>
        <v>29884896</v>
      </c>
      <c r="E131" s="1064">
        <f>SUM(B131:D131)</f>
        <v>34698148</v>
      </c>
    </row>
    <row r="132" spans="1:6" x14ac:dyDescent="0.2">
      <c r="A132" s="1066" t="s">
        <v>83</v>
      </c>
      <c r="B132" s="1067">
        <f>SUM(B125:B131)</f>
        <v>8483072</v>
      </c>
      <c r="C132" s="1067">
        <f>SUM(C125:C131)</f>
        <v>17372102</v>
      </c>
      <c r="D132" s="1067">
        <f>SUM(D125:D131)</f>
        <v>1029832817</v>
      </c>
      <c r="E132" s="1067">
        <f>SUM(E125:E131)</f>
        <v>1055687991</v>
      </c>
    </row>
    <row r="135" spans="1:6" ht="25.5" customHeight="1" x14ac:dyDescent="0.2"/>
    <row r="136" spans="1:6" x14ac:dyDescent="0.2">
      <c r="D136" s="1011"/>
    </row>
    <row r="137" spans="1:6" ht="25.5" customHeight="1" x14ac:dyDescent="0.2">
      <c r="A137" s="1043"/>
      <c r="B137" s="1045" t="s">
        <v>893</v>
      </c>
      <c r="C137" s="1086"/>
      <c r="D137" s="1047"/>
      <c r="E137" s="1046"/>
    </row>
    <row r="138" spans="1:6" ht="25.5" x14ac:dyDescent="0.2">
      <c r="A138" s="1048" t="s">
        <v>859</v>
      </c>
      <c r="B138" s="2010" t="s">
        <v>894</v>
      </c>
      <c r="C138" s="2010"/>
      <c r="D138" s="2010"/>
      <c r="E138" s="2010"/>
    </row>
    <row r="139" spans="1:6" x14ac:dyDescent="0.2">
      <c r="A139" s="1049"/>
      <c r="B139" s="1050"/>
      <c r="C139" s="1052"/>
      <c r="D139" s="1052"/>
      <c r="E139" s="1051"/>
    </row>
    <row r="140" spans="1:6" x14ac:dyDescent="0.2">
      <c r="A140" s="1049"/>
      <c r="B140" s="1050"/>
      <c r="C140" s="1054"/>
      <c r="D140" s="1054"/>
      <c r="E140" s="1053"/>
    </row>
    <row r="141" spans="1:6" x14ac:dyDescent="0.2">
      <c r="A141" s="1055" t="s">
        <v>861</v>
      </c>
      <c r="B141" s="1056" t="s">
        <v>890</v>
      </c>
      <c r="C141" s="1057" t="s">
        <v>891</v>
      </c>
      <c r="D141" s="1058" t="s">
        <v>863</v>
      </c>
      <c r="E141" s="1059" t="s">
        <v>916</v>
      </c>
      <c r="F141" s="1059" t="s">
        <v>83</v>
      </c>
    </row>
    <row r="142" spans="1:6" x14ac:dyDescent="0.2">
      <c r="A142" s="1060" t="s">
        <v>865</v>
      </c>
      <c r="B142" s="1061">
        <v>59937000</v>
      </c>
      <c r="C142" s="1062"/>
      <c r="D142" s="1065"/>
      <c r="E142" s="1064"/>
      <c r="F142" s="1064">
        <f>SUM(B142:E142)</f>
        <v>59937000</v>
      </c>
    </row>
    <row r="143" spans="1:6" x14ac:dyDescent="0.2">
      <c r="A143" s="1060" t="s">
        <v>866</v>
      </c>
      <c r="B143" s="1061"/>
      <c r="C143" s="1062"/>
      <c r="D143" s="1065"/>
      <c r="E143" s="1064">
        <f>SUM(B143:D143)</f>
        <v>0</v>
      </c>
      <c r="F143" s="1064">
        <f>SUM(C143:E143)</f>
        <v>0</v>
      </c>
    </row>
    <row r="144" spans="1:6" x14ac:dyDescent="0.2">
      <c r="A144" s="1060" t="s">
        <v>867</v>
      </c>
      <c r="B144" s="1061"/>
      <c r="C144" s="1062"/>
      <c r="D144" s="1065">
        <f>F154-B145</f>
        <v>54468484</v>
      </c>
      <c r="E144" s="1064"/>
      <c r="F144" s="1064">
        <f>SUM(C144:E144)</f>
        <v>54468484</v>
      </c>
    </row>
    <row r="145" spans="1:6" x14ac:dyDescent="0.2">
      <c r="A145" s="1066" t="s">
        <v>83</v>
      </c>
      <c r="B145" s="1067">
        <f>SUM(B142:B144)</f>
        <v>59937000</v>
      </c>
      <c r="C145" s="1067">
        <f>SUM(C142:C144)</f>
        <v>0</v>
      </c>
      <c r="D145" s="1067">
        <f>SUM(D142:D144)</f>
        <v>54468484</v>
      </c>
      <c r="E145" s="1067">
        <f>SUM(E142:E144)</f>
        <v>0</v>
      </c>
      <c r="F145" s="1067">
        <f>SUM(F142:F144)</f>
        <v>114405484</v>
      </c>
    </row>
    <row r="146" spans="1:6" x14ac:dyDescent="0.2">
      <c r="A146" s="1070"/>
      <c r="B146" s="1071"/>
      <c r="C146" s="1072"/>
      <c r="D146" s="1073"/>
      <c r="E146" s="1074"/>
      <c r="F146" s="1074"/>
    </row>
    <row r="147" spans="1:6" ht="38.25" x14ac:dyDescent="0.2">
      <c r="A147" s="1055" t="s">
        <v>868</v>
      </c>
      <c r="B147" s="1075" t="s">
        <v>892</v>
      </c>
      <c r="C147" s="1075" t="s">
        <v>869</v>
      </c>
      <c r="D147" s="1076" t="s">
        <v>934</v>
      </c>
      <c r="E147" s="1059" t="s">
        <v>864</v>
      </c>
      <c r="F147" s="1077" t="s">
        <v>83</v>
      </c>
    </row>
    <row r="148" spans="1:6" x14ac:dyDescent="0.2">
      <c r="A148" s="1082" t="s">
        <v>879</v>
      </c>
      <c r="B148" s="1061"/>
      <c r="C148" s="1078">
        <v>362510</v>
      </c>
      <c r="D148" s="1079">
        <v>406051</v>
      </c>
      <c r="E148" s="1064">
        <v>255061</v>
      </c>
      <c r="F148" s="1064">
        <f>SUM(C148:E148)</f>
        <v>1023622</v>
      </c>
    </row>
    <row r="149" spans="1:6" ht="25.5" x14ac:dyDescent="0.2">
      <c r="A149" s="1060" t="s">
        <v>871</v>
      </c>
      <c r="B149" s="1061"/>
      <c r="C149" s="1078">
        <v>70689</v>
      </c>
      <c r="D149" s="1079">
        <v>161053</v>
      </c>
      <c r="E149" s="1064">
        <v>44636</v>
      </c>
      <c r="F149" s="1064">
        <f t="shared" ref="F149:F153" si="14">SUM(C149:E149)</f>
        <v>276378</v>
      </c>
    </row>
    <row r="150" spans="1:6" x14ac:dyDescent="0.2">
      <c r="A150" s="1060" t="s">
        <v>872</v>
      </c>
      <c r="B150" s="1061"/>
      <c r="C150" s="1078">
        <v>208000</v>
      </c>
      <c r="D150" s="1079">
        <v>482600</v>
      </c>
      <c r="E150" s="1064">
        <v>1736400</v>
      </c>
      <c r="F150" s="1064">
        <f t="shared" si="14"/>
        <v>2427000</v>
      </c>
    </row>
    <row r="151" spans="1:6" x14ac:dyDescent="0.2">
      <c r="A151" s="1060" t="s">
        <v>873</v>
      </c>
      <c r="B151" s="1061"/>
      <c r="C151" s="1078">
        <v>0</v>
      </c>
      <c r="D151" s="1079"/>
      <c r="E151" s="1064">
        <f t="shared" ref="E151" si="15">SUM(C151:D151)</f>
        <v>0</v>
      </c>
      <c r="F151" s="1064">
        <f t="shared" si="14"/>
        <v>0</v>
      </c>
    </row>
    <row r="152" spans="1:6" x14ac:dyDescent="0.2">
      <c r="A152" s="1060" t="s">
        <v>874</v>
      </c>
      <c r="B152" s="1088"/>
      <c r="C152" s="1089">
        <v>5193270</v>
      </c>
      <c r="D152" s="1090">
        <v>83180724</v>
      </c>
      <c r="E152" s="1064"/>
      <c r="F152" s="1064">
        <f t="shared" si="14"/>
        <v>88373994</v>
      </c>
    </row>
    <row r="153" spans="1:6" ht="25.5" x14ac:dyDescent="0.2">
      <c r="A153" s="1095" t="s">
        <v>882</v>
      </c>
      <c r="B153" s="1079"/>
      <c r="C153" s="1091"/>
      <c r="D153" s="1079">
        <v>22304490</v>
      </c>
      <c r="E153" s="1064"/>
      <c r="F153" s="1064">
        <f t="shared" si="14"/>
        <v>22304490</v>
      </c>
    </row>
    <row r="154" spans="1:6" x14ac:dyDescent="0.2">
      <c r="A154" s="1066" t="s">
        <v>83</v>
      </c>
      <c r="B154" s="1093">
        <f>SUM(B148:B152)</f>
        <v>0</v>
      </c>
      <c r="C154" s="1093">
        <f>SUM(C148:C152)</f>
        <v>5834469</v>
      </c>
      <c r="D154" s="1093">
        <f>SUM(D148:D153)</f>
        <v>106534918</v>
      </c>
      <c r="E154" s="1093">
        <f>SUM(E148:E153)</f>
        <v>2036097</v>
      </c>
      <c r="F154" s="1093">
        <f>SUM(F148:F153)</f>
        <v>114405484</v>
      </c>
    </row>
    <row r="155" spans="1:6" x14ac:dyDescent="0.2">
      <c r="D155" s="1094"/>
    </row>
    <row r="156" spans="1:6" x14ac:dyDescent="0.2">
      <c r="D156" s="1094"/>
    </row>
    <row r="157" spans="1:6" x14ac:dyDescent="0.2">
      <c r="B157" s="152" t="s">
        <v>895</v>
      </c>
      <c r="C157" s="152"/>
    </row>
    <row r="158" spans="1:6" ht="25.5" customHeight="1" x14ac:dyDescent="0.2">
      <c r="A158" s="1048" t="s">
        <v>859</v>
      </c>
      <c r="B158" s="2009" t="s">
        <v>896</v>
      </c>
      <c r="C158" s="2009"/>
      <c r="D158" s="2009"/>
      <c r="E158" s="2009"/>
    </row>
    <row r="159" spans="1:6" x14ac:dyDescent="0.2">
      <c r="A159" s="1049"/>
      <c r="B159" s="1087"/>
      <c r="C159" s="1052"/>
      <c r="D159" s="1052"/>
      <c r="E159" s="1051"/>
    </row>
    <row r="160" spans="1:6" x14ac:dyDescent="0.2">
      <c r="A160" s="1049"/>
      <c r="B160" s="1050"/>
      <c r="C160" s="1054"/>
      <c r="D160" s="1054"/>
      <c r="E160" s="1053"/>
    </row>
    <row r="161" spans="1:8" ht="38.25" x14ac:dyDescent="0.2">
      <c r="A161" s="1055" t="s">
        <v>861</v>
      </c>
      <c r="B161" s="1056" t="s">
        <v>862</v>
      </c>
      <c r="C161" s="1076" t="s">
        <v>934</v>
      </c>
      <c r="D161" s="1058" t="s">
        <v>864</v>
      </c>
      <c r="E161" s="1059" t="s">
        <v>83</v>
      </c>
    </row>
    <row r="162" spans="1:8" x14ac:dyDescent="0.2">
      <c r="A162" s="1060" t="s">
        <v>865</v>
      </c>
      <c r="B162" s="1061">
        <v>247456250</v>
      </c>
      <c r="C162" s="1062"/>
      <c r="D162" s="1065"/>
      <c r="E162" s="1064">
        <f>SUM(B162:D162)</f>
        <v>247456250</v>
      </c>
    </row>
    <row r="163" spans="1:8" x14ac:dyDescent="0.2">
      <c r="A163" s="1060" t="s">
        <v>866</v>
      </c>
      <c r="B163" s="1061"/>
      <c r="C163" s="1062"/>
      <c r="D163" s="1065"/>
      <c r="E163" s="1064">
        <f t="shared" ref="E163:E165" si="16">SUM(B163:D163)</f>
        <v>0</v>
      </c>
    </row>
    <row r="164" spans="1:8" x14ac:dyDescent="0.2">
      <c r="A164" s="1060" t="s">
        <v>867</v>
      </c>
      <c r="B164" s="1061"/>
      <c r="C164" s="1062">
        <f>C171+C173</f>
        <v>0</v>
      </c>
      <c r="D164" s="1065"/>
      <c r="E164" s="1064">
        <f t="shared" si="16"/>
        <v>0</v>
      </c>
    </row>
    <row r="165" spans="1:8" ht="25.5" x14ac:dyDescent="0.2">
      <c r="A165" s="1082" t="s">
        <v>878</v>
      </c>
      <c r="B165" s="1061"/>
      <c r="C165" s="1062"/>
      <c r="D165" s="1065"/>
      <c r="E165" s="1064">
        <f t="shared" si="16"/>
        <v>0</v>
      </c>
    </row>
    <row r="166" spans="1:8" x14ac:dyDescent="0.2">
      <c r="A166" s="1066" t="s">
        <v>83</v>
      </c>
      <c r="B166" s="1067">
        <f>SUM(B162:B165)</f>
        <v>247456250</v>
      </c>
      <c r="C166" s="1067">
        <f>SUM(C162:C165)</f>
        <v>0</v>
      </c>
      <c r="D166" s="1067">
        <f t="shared" ref="D166" si="17">SUM(D162:D165)</f>
        <v>0</v>
      </c>
      <c r="E166" s="1067">
        <f>SUM(E162:E165)</f>
        <v>247456250</v>
      </c>
      <c r="H166" s="1166"/>
    </row>
    <row r="167" spans="1:8" x14ac:dyDescent="0.2">
      <c r="A167" s="1070"/>
      <c r="B167" s="1071"/>
      <c r="C167" s="1072"/>
      <c r="D167" s="1073"/>
      <c r="E167" s="1074"/>
      <c r="H167" s="1166"/>
    </row>
    <row r="168" spans="1:8" ht="38.25" x14ac:dyDescent="0.2">
      <c r="A168" s="1055" t="s">
        <v>868</v>
      </c>
      <c r="B168" s="1075" t="s">
        <v>898</v>
      </c>
      <c r="C168" s="1057" t="s">
        <v>897</v>
      </c>
      <c r="D168" s="1058" t="s">
        <v>864</v>
      </c>
      <c r="E168" s="1077" t="s">
        <v>83</v>
      </c>
      <c r="H168" s="1167"/>
    </row>
    <row r="169" spans="1:8" x14ac:dyDescent="0.2">
      <c r="A169" s="1082" t="s">
        <v>879</v>
      </c>
      <c r="B169" s="1061">
        <v>0</v>
      </c>
      <c r="C169" s="1078"/>
      <c r="D169" s="1079"/>
      <c r="E169" s="1064">
        <f t="shared" ref="E169:E175" si="18">SUM(B169:D169)</f>
        <v>0</v>
      </c>
      <c r="H169" s="1168"/>
    </row>
    <row r="170" spans="1:8" ht="25.5" x14ac:dyDescent="0.2">
      <c r="A170" s="1060" t="s">
        <v>871</v>
      </c>
      <c r="B170" s="1061">
        <v>0</v>
      </c>
      <c r="C170" s="1078"/>
      <c r="D170" s="1079"/>
      <c r="E170" s="1064">
        <f t="shared" si="18"/>
        <v>0</v>
      </c>
      <c r="H170" s="1168"/>
    </row>
    <row r="171" spans="1:8" x14ac:dyDescent="0.2">
      <c r="A171" s="1060" t="s">
        <v>872</v>
      </c>
      <c r="B171" s="1061">
        <v>0</v>
      </c>
      <c r="C171" s="1078"/>
      <c r="D171" s="1079"/>
      <c r="E171" s="1064">
        <f t="shared" si="18"/>
        <v>0</v>
      </c>
      <c r="H171" s="1168"/>
    </row>
    <row r="172" spans="1:8" x14ac:dyDescent="0.2">
      <c r="A172" s="1060" t="s">
        <v>873</v>
      </c>
      <c r="B172" s="1061">
        <v>0</v>
      </c>
      <c r="C172" s="1078"/>
      <c r="D172" s="1079"/>
      <c r="E172" s="1064">
        <f t="shared" si="18"/>
        <v>0</v>
      </c>
      <c r="H172" s="1169"/>
    </row>
    <row r="173" spans="1:8" x14ac:dyDescent="0.2">
      <c r="A173" s="1060" t="s">
        <v>874</v>
      </c>
      <c r="B173" s="1061">
        <v>0</v>
      </c>
      <c r="C173" s="1078"/>
      <c r="D173" s="1079"/>
      <c r="E173" s="1064">
        <f t="shared" si="18"/>
        <v>0</v>
      </c>
      <c r="F173" s="639">
        <f>D173+D175</f>
        <v>0</v>
      </c>
      <c r="H173" s="1074"/>
    </row>
    <row r="174" spans="1:8" ht="25.5" x14ac:dyDescent="0.2">
      <c r="A174" s="1082" t="s">
        <v>899</v>
      </c>
      <c r="B174" s="1061">
        <v>0</v>
      </c>
      <c r="C174" s="1078"/>
      <c r="D174" s="1079"/>
      <c r="E174" s="1064">
        <f t="shared" si="18"/>
        <v>0</v>
      </c>
      <c r="H174" s="1170"/>
    </row>
    <row r="175" spans="1:8" ht="25.5" x14ac:dyDescent="0.2">
      <c r="A175" s="1082" t="s">
        <v>878</v>
      </c>
      <c r="B175" s="1061">
        <v>0</v>
      </c>
      <c r="C175" s="1089"/>
      <c r="D175" s="1090"/>
      <c r="E175" s="1681">
        <f t="shared" si="18"/>
        <v>0</v>
      </c>
      <c r="H175" s="1168"/>
    </row>
    <row r="176" spans="1:8" ht="42" customHeight="1" x14ac:dyDescent="0.2">
      <c r="A176" s="1082" t="s">
        <v>1121</v>
      </c>
      <c r="B176" s="1065"/>
      <c r="C176" s="1091"/>
      <c r="D176" s="1079">
        <v>247456250</v>
      </c>
      <c r="E176" s="1064"/>
      <c r="H176" s="1168"/>
    </row>
    <row r="177" spans="1:8" x14ac:dyDescent="0.2">
      <c r="A177" s="1066" t="s">
        <v>83</v>
      </c>
      <c r="B177" s="1067">
        <f>SUM(B169:B175)</f>
        <v>0</v>
      </c>
      <c r="C177" s="1093">
        <f>SUM(C169:C175)</f>
        <v>0</v>
      </c>
      <c r="D177" s="1093">
        <f>SUM(D169:D176)</f>
        <v>247456250</v>
      </c>
      <c r="E177" s="1093">
        <f>SUM(E169:E175)</f>
        <v>0</v>
      </c>
      <c r="H177" s="1168"/>
    </row>
    <row r="178" spans="1:8" x14ac:dyDescent="0.2">
      <c r="A178" s="1171"/>
      <c r="B178" s="1169"/>
      <c r="C178" s="1188"/>
      <c r="D178" s="1169"/>
      <c r="E178" s="1169"/>
      <c r="H178" s="1168"/>
    </row>
    <row r="179" spans="1:8" x14ac:dyDescent="0.2">
      <c r="C179" s="1096"/>
      <c r="H179" s="1168"/>
    </row>
    <row r="180" spans="1:8" x14ac:dyDescent="0.2">
      <c r="C180" s="1187"/>
      <c r="H180" s="1168"/>
    </row>
    <row r="181" spans="1:8" x14ac:dyDescent="0.2">
      <c r="B181" s="152" t="s">
        <v>1122</v>
      </c>
      <c r="C181" s="152"/>
      <c r="H181" s="1168"/>
    </row>
    <row r="182" spans="1:8" ht="42.75" customHeight="1" x14ac:dyDescent="0.2">
      <c r="A182" s="1048" t="s">
        <v>859</v>
      </c>
      <c r="B182" s="2009" t="s">
        <v>896</v>
      </c>
      <c r="C182" s="2009"/>
      <c r="D182" s="2009"/>
      <c r="E182" s="2009"/>
      <c r="H182" s="1168"/>
    </row>
    <row r="183" spans="1:8" x14ac:dyDescent="0.2">
      <c r="A183" s="1049"/>
      <c r="B183" s="1087"/>
      <c r="C183" s="1052"/>
      <c r="D183" s="1052"/>
      <c r="E183" s="1051"/>
      <c r="H183" s="1168"/>
    </row>
    <row r="184" spans="1:8" x14ac:dyDescent="0.2">
      <c r="A184" s="1049"/>
      <c r="B184" s="1050"/>
      <c r="C184" s="1054"/>
      <c r="D184" s="1054"/>
      <c r="E184" s="1053"/>
      <c r="H184" s="1168"/>
    </row>
    <row r="185" spans="1:8" ht="38.25" x14ac:dyDescent="0.2">
      <c r="A185" s="1055" t="s">
        <v>861</v>
      </c>
      <c r="B185" s="1075" t="s">
        <v>1123</v>
      </c>
      <c r="C185" s="1076" t="s">
        <v>864</v>
      </c>
      <c r="D185" s="1076" t="s">
        <v>1124</v>
      </c>
      <c r="E185" s="1059" t="s">
        <v>83</v>
      </c>
      <c r="H185" s="1168"/>
    </row>
    <row r="186" spans="1:8" x14ac:dyDescent="0.2">
      <c r="A186" s="1060" t="s">
        <v>865</v>
      </c>
      <c r="B186" s="1061"/>
      <c r="C186" s="1062">
        <v>7063771</v>
      </c>
      <c r="D186" s="1065">
        <f>1277000000-C186</f>
        <v>1269936229</v>
      </c>
      <c r="E186" s="1064">
        <f>SUM(B186:D186)</f>
        <v>1277000000</v>
      </c>
      <c r="H186" s="1168"/>
    </row>
    <row r="187" spans="1:8" x14ac:dyDescent="0.2">
      <c r="A187" s="1060" t="s">
        <v>866</v>
      </c>
      <c r="B187" s="1061"/>
      <c r="C187" s="1062"/>
      <c r="D187" s="1065"/>
      <c r="E187" s="1064">
        <f t="shared" ref="E187:E189" si="19">SUM(B187:D187)</f>
        <v>0</v>
      </c>
      <c r="H187" s="1168"/>
    </row>
    <row r="188" spans="1:8" x14ac:dyDescent="0.2">
      <c r="A188" s="1060" t="s">
        <v>867</v>
      </c>
      <c r="B188" s="1061"/>
      <c r="C188" s="1062"/>
      <c r="D188" s="1065">
        <v>302104708</v>
      </c>
      <c r="E188" s="1064">
        <f t="shared" si="19"/>
        <v>302104708</v>
      </c>
      <c r="H188" s="1168"/>
    </row>
    <row r="189" spans="1:8" ht="25.5" x14ac:dyDescent="0.2">
      <c r="A189" s="1082" t="s">
        <v>878</v>
      </c>
      <c r="B189" s="1061"/>
      <c r="C189" s="1062">
        <f>C196+C200</f>
        <v>287728</v>
      </c>
      <c r="D189" s="1062">
        <f>D196+D200</f>
        <v>6668594</v>
      </c>
      <c r="E189" s="1064">
        <f t="shared" si="19"/>
        <v>6956322</v>
      </c>
      <c r="H189" s="1168"/>
    </row>
    <row r="190" spans="1:8" x14ac:dyDescent="0.2">
      <c r="A190" s="1066" t="s">
        <v>83</v>
      </c>
      <c r="B190" s="1067">
        <f>SUM(B186:B189)</f>
        <v>0</v>
      </c>
      <c r="C190" s="1067">
        <f>SUM(C186:C189)</f>
        <v>7351499</v>
      </c>
      <c r="D190" s="1067">
        <f t="shared" ref="D190" si="20">SUM(D186:D189)</f>
        <v>1578709531</v>
      </c>
      <c r="E190" s="1067">
        <f>SUM(E186:E189)</f>
        <v>1586061030</v>
      </c>
      <c r="F190" s="639">
        <f>E190-E189</f>
        <v>1579104708</v>
      </c>
      <c r="H190" s="1168"/>
    </row>
    <row r="191" spans="1:8" x14ac:dyDescent="0.2">
      <c r="A191" s="1070"/>
      <c r="B191" s="1071"/>
      <c r="C191" s="1072"/>
      <c r="D191" s="1073"/>
      <c r="E191" s="1074"/>
      <c r="H191" s="1168"/>
    </row>
    <row r="192" spans="1:8" ht="38.25" x14ac:dyDescent="0.2">
      <c r="A192" s="1055" t="s">
        <v>868</v>
      </c>
      <c r="B192" s="1075" t="s">
        <v>1123</v>
      </c>
      <c r="C192" s="1057" t="s">
        <v>864</v>
      </c>
      <c r="D192" s="1076" t="s">
        <v>1124</v>
      </c>
      <c r="E192" s="1077" t="s">
        <v>83</v>
      </c>
      <c r="H192" s="1168"/>
    </row>
    <row r="193" spans="1:8" x14ac:dyDescent="0.2">
      <c r="A193" s="1082" t="s">
        <v>879</v>
      </c>
      <c r="B193" s="1061">
        <v>0</v>
      </c>
      <c r="C193" s="1078">
        <v>152381</v>
      </c>
      <c r="D193" s="1079">
        <f>21630000-C193</f>
        <v>21477619</v>
      </c>
      <c r="E193" s="1064">
        <f t="shared" ref="E193:E200" si="21">SUM(B193:D193)</f>
        <v>21630000</v>
      </c>
      <c r="H193" s="1168"/>
    </row>
    <row r="194" spans="1:8" ht="25.5" x14ac:dyDescent="0.2">
      <c r="A194" s="1060" t="s">
        <v>871</v>
      </c>
      <c r="B194" s="1061">
        <v>0</v>
      </c>
      <c r="C194" s="1078">
        <v>23619</v>
      </c>
      <c r="D194" s="1079">
        <f>3352650-C194</f>
        <v>3329031</v>
      </c>
      <c r="E194" s="1064">
        <f t="shared" si="21"/>
        <v>3352650</v>
      </c>
      <c r="H194" s="1168"/>
    </row>
    <row r="195" spans="1:8" x14ac:dyDescent="0.2">
      <c r="A195" s="1060" t="s">
        <v>872</v>
      </c>
      <c r="B195" s="1061">
        <v>0</v>
      </c>
      <c r="C195" s="1078">
        <v>6887771</v>
      </c>
      <c r="D195" s="1079">
        <f>17363366-C195</f>
        <v>10475595</v>
      </c>
      <c r="E195" s="1064">
        <f t="shared" si="21"/>
        <v>17363366</v>
      </c>
      <c r="H195" s="1168"/>
    </row>
    <row r="196" spans="1:8" ht="25.5" x14ac:dyDescent="0.2">
      <c r="A196" s="1082" t="s">
        <v>878</v>
      </c>
      <c r="B196" s="1061"/>
      <c r="C196" s="1078">
        <v>287728</v>
      </c>
      <c r="D196" s="1079"/>
      <c r="E196" s="1064">
        <f t="shared" si="21"/>
        <v>287728</v>
      </c>
      <c r="H196" s="1168"/>
    </row>
    <row r="197" spans="1:8" x14ac:dyDescent="0.2">
      <c r="A197" s="1060" t="s">
        <v>873</v>
      </c>
      <c r="B197" s="1061">
        <v>0</v>
      </c>
      <c r="C197" s="1078"/>
      <c r="D197" s="1079">
        <v>148679404</v>
      </c>
      <c r="E197" s="1064">
        <f t="shared" si="21"/>
        <v>148679404</v>
      </c>
      <c r="H197" s="1168"/>
    </row>
    <row r="198" spans="1:8" x14ac:dyDescent="0.2">
      <c r="A198" s="1060" t="s">
        <v>874</v>
      </c>
      <c r="B198" s="1061">
        <v>0</v>
      </c>
      <c r="C198" s="1078"/>
      <c r="D198" s="1079">
        <f>1536758692-D197</f>
        <v>1388079288</v>
      </c>
      <c r="E198" s="1064">
        <f t="shared" si="21"/>
        <v>1388079288</v>
      </c>
      <c r="H198" s="1168"/>
    </row>
    <row r="199" spans="1:8" ht="25.5" x14ac:dyDescent="0.2">
      <c r="A199" s="1082" t="s">
        <v>899</v>
      </c>
      <c r="B199" s="1061">
        <v>0</v>
      </c>
      <c r="C199" s="1078"/>
      <c r="D199" s="1079"/>
      <c r="E199" s="1064">
        <f t="shared" si="21"/>
        <v>0</v>
      </c>
      <c r="H199" s="1168"/>
    </row>
    <row r="200" spans="1:8" ht="25.5" x14ac:dyDescent="0.2">
      <c r="A200" s="1082" t="s">
        <v>878</v>
      </c>
      <c r="B200" s="1061">
        <v>0</v>
      </c>
      <c r="C200" s="1078"/>
      <c r="D200" s="1079">
        <v>6668594</v>
      </c>
      <c r="E200" s="1064">
        <f t="shared" si="21"/>
        <v>6668594</v>
      </c>
      <c r="H200" s="1168"/>
    </row>
    <row r="201" spans="1:8" x14ac:dyDescent="0.2">
      <c r="A201" s="1066" t="s">
        <v>83</v>
      </c>
      <c r="B201" s="1067">
        <f>SUM(B193:B200)</f>
        <v>0</v>
      </c>
      <c r="C201" s="1067">
        <f>SUM(C193:C200)</f>
        <v>7351499</v>
      </c>
      <c r="D201" s="1067">
        <f>SUM(D193:D200)</f>
        <v>1578709531</v>
      </c>
      <c r="E201" s="1067">
        <f>SUM(E193:E200)</f>
        <v>1586061030</v>
      </c>
      <c r="F201" s="639">
        <f>E201-C196-D200</f>
        <v>1579104708</v>
      </c>
      <c r="H201" s="1168"/>
    </row>
    <row r="202" spans="1:8" x14ac:dyDescent="0.2">
      <c r="C202" s="1187"/>
      <c r="H202" s="1168"/>
    </row>
    <row r="203" spans="1:8" x14ac:dyDescent="0.2">
      <c r="C203" s="1187"/>
      <c r="H203" s="1168"/>
    </row>
    <row r="204" spans="1:8" ht="38.25" customHeight="1" x14ac:dyDescent="0.2">
      <c r="B204" s="152" t="s">
        <v>902</v>
      </c>
      <c r="C204" s="1187"/>
      <c r="H204" s="1168"/>
    </row>
    <row r="205" spans="1:8" ht="25.5" customHeight="1" x14ac:dyDescent="0.2">
      <c r="A205" s="1048" t="s">
        <v>859</v>
      </c>
      <c r="B205" s="2010" t="s">
        <v>903</v>
      </c>
      <c r="C205" s="2010"/>
      <c r="D205" s="2010"/>
      <c r="E205" s="2010"/>
      <c r="H205" s="1168"/>
    </row>
    <row r="206" spans="1:8" x14ac:dyDescent="0.2">
      <c r="A206" s="1049"/>
      <c r="B206" s="1050"/>
      <c r="C206" s="1052"/>
      <c r="D206" s="1052"/>
      <c r="E206" s="1051"/>
      <c r="H206" s="1169"/>
    </row>
    <row r="207" spans="1:8" x14ac:dyDescent="0.2">
      <c r="A207" s="1049"/>
      <c r="B207" s="1050"/>
      <c r="C207" s="1054"/>
      <c r="D207" s="1054"/>
      <c r="E207" s="1053"/>
      <c r="H207" s="1166"/>
    </row>
    <row r="208" spans="1:8" x14ac:dyDescent="0.2">
      <c r="A208" s="1055" t="s">
        <v>861</v>
      </c>
      <c r="B208" s="1075" t="s">
        <v>900</v>
      </c>
      <c r="C208" s="1057" t="s">
        <v>862</v>
      </c>
      <c r="D208" s="1097" t="s">
        <v>863</v>
      </c>
      <c r="E208" s="1077" t="s">
        <v>864</v>
      </c>
      <c r="F208" s="1077" t="s">
        <v>83</v>
      </c>
      <c r="H208" s="1166"/>
    </row>
    <row r="209" spans="1:8" x14ac:dyDescent="0.2">
      <c r="A209" s="1060" t="s">
        <v>865</v>
      </c>
      <c r="B209" s="1061">
        <v>76775000</v>
      </c>
      <c r="C209" s="1061"/>
      <c r="D209" s="1061"/>
      <c r="E209" s="1062"/>
      <c r="F209" s="1062">
        <f>SUM(B209:E209)</f>
        <v>76775000</v>
      </c>
      <c r="H209" s="1166"/>
    </row>
    <row r="210" spans="1:8" x14ac:dyDescent="0.2">
      <c r="A210" s="1060" t="s">
        <v>866</v>
      </c>
      <c r="B210" s="1061"/>
      <c r="C210" s="1061"/>
      <c r="D210" s="1061"/>
      <c r="E210" s="1062">
        <f t="shared" ref="E210:F211" si="22">SUM(B210:D210)</f>
        <v>0</v>
      </c>
      <c r="F210" s="1062">
        <f t="shared" si="22"/>
        <v>0</v>
      </c>
      <c r="H210" s="1166"/>
    </row>
    <row r="211" spans="1:8" x14ac:dyDescent="0.2">
      <c r="A211" s="1060" t="s">
        <v>867</v>
      </c>
      <c r="B211" s="1061">
        <v>0</v>
      </c>
      <c r="C211" s="1061"/>
      <c r="D211" s="1061"/>
      <c r="E211" s="1062">
        <f t="shared" si="22"/>
        <v>0</v>
      </c>
      <c r="F211" s="1062">
        <f t="shared" si="22"/>
        <v>0</v>
      </c>
      <c r="H211" s="1166"/>
    </row>
    <row r="212" spans="1:8" x14ac:dyDescent="0.2">
      <c r="A212" s="1066" t="s">
        <v>83</v>
      </c>
      <c r="B212" s="1067">
        <f>SUM(B209:B211)</f>
        <v>76775000</v>
      </c>
      <c r="C212" s="1067">
        <f>SUM(C209:C211)</f>
        <v>0</v>
      </c>
      <c r="D212" s="1067">
        <f>SUM(D209:D211)</f>
        <v>0</v>
      </c>
      <c r="E212" s="1067">
        <f>SUM(E209:E211)</f>
        <v>0</v>
      </c>
      <c r="F212" s="1067">
        <f>SUM(F209:F211)</f>
        <v>76775000</v>
      </c>
    </row>
    <row r="213" spans="1:8" x14ac:dyDescent="0.2">
      <c r="A213" s="1070"/>
      <c r="B213" s="1071"/>
      <c r="C213" s="1071"/>
      <c r="D213" s="1071"/>
      <c r="E213" s="1072"/>
      <c r="F213" s="1072"/>
    </row>
    <row r="214" spans="1:8" ht="38.25" x14ac:dyDescent="0.2">
      <c r="A214" s="1055" t="s">
        <v>868</v>
      </c>
      <c r="B214" s="1075" t="s">
        <v>892</v>
      </c>
      <c r="C214" s="1075" t="s">
        <v>869</v>
      </c>
      <c r="D214" s="1076" t="s">
        <v>934</v>
      </c>
      <c r="E214" s="1077" t="s">
        <v>864</v>
      </c>
      <c r="F214" s="1077" t="s">
        <v>83</v>
      </c>
    </row>
    <row r="215" spans="1:8" x14ac:dyDescent="0.2">
      <c r="A215" s="1060" t="s">
        <v>901</v>
      </c>
      <c r="B215" s="1061">
        <v>1652672</v>
      </c>
      <c r="C215" s="1061">
        <v>6524784</v>
      </c>
      <c r="D215" s="1061">
        <v>7683015</v>
      </c>
      <c r="E215" s="1062">
        <v>3999763</v>
      </c>
      <c r="F215" s="1062">
        <f>SUM(B215:E215)</f>
        <v>19860234</v>
      </c>
    </row>
    <row r="216" spans="1:8" ht="25.5" x14ac:dyDescent="0.2">
      <c r="A216" s="1060" t="s">
        <v>871</v>
      </c>
      <c r="B216" s="1061">
        <v>363388</v>
      </c>
      <c r="C216" s="1061">
        <v>1218459</v>
      </c>
      <c r="D216" s="1061">
        <v>1358402</v>
      </c>
      <c r="E216" s="1062">
        <v>1021517</v>
      </c>
      <c r="F216" s="1062">
        <f t="shared" ref="F216:F219" si="23">SUM(B216:E216)</f>
        <v>3961766</v>
      </c>
    </row>
    <row r="217" spans="1:8" x14ac:dyDescent="0.2">
      <c r="A217" s="1060" t="s">
        <v>872</v>
      </c>
      <c r="B217" s="1061">
        <v>22595500</v>
      </c>
      <c r="C217" s="1061">
        <v>293634</v>
      </c>
      <c r="D217" s="1061">
        <v>6428094</v>
      </c>
      <c r="E217" s="1062">
        <v>22790772</v>
      </c>
      <c r="F217" s="1062">
        <f t="shared" si="23"/>
        <v>52108000</v>
      </c>
    </row>
    <row r="218" spans="1:8" x14ac:dyDescent="0.2">
      <c r="A218" s="1060" t="s">
        <v>873</v>
      </c>
      <c r="B218" s="1061"/>
      <c r="C218" s="1061"/>
      <c r="D218" s="1061"/>
      <c r="E218" s="1062">
        <f>SUM(B218:D218)</f>
        <v>0</v>
      </c>
      <c r="F218" s="1062">
        <f t="shared" si="23"/>
        <v>0</v>
      </c>
    </row>
    <row r="219" spans="1:8" x14ac:dyDescent="0.2">
      <c r="A219" s="1060" t="s">
        <v>874</v>
      </c>
      <c r="B219" s="1061"/>
      <c r="C219" s="1061"/>
      <c r="D219" s="1061">
        <v>845000</v>
      </c>
      <c r="E219" s="1062"/>
      <c r="F219" s="1062">
        <f t="shared" si="23"/>
        <v>845000</v>
      </c>
    </row>
    <row r="220" spans="1:8" x14ac:dyDescent="0.2">
      <c r="A220" s="1066" t="s">
        <v>83</v>
      </c>
      <c r="B220" s="1067">
        <f>SUM(B215:B219)</f>
        <v>24611560</v>
      </c>
      <c r="C220" s="1067">
        <f>SUM(C215:C219)</f>
        <v>8036877</v>
      </c>
      <c r="D220" s="1067">
        <f>SUM(D215:D219)</f>
        <v>16314511</v>
      </c>
      <c r="E220" s="1067">
        <f>SUM(E215:E219)</f>
        <v>27812052</v>
      </c>
      <c r="F220" s="1067">
        <f>SUM(F215:F219)</f>
        <v>76775000</v>
      </c>
    </row>
    <row r="221" spans="1:8" x14ac:dyDescent="0.2">
      <c r="A221" s="1171"/>
      <c r="B221" s="1169"/>
      <c r="C221" s="1169"/>
      <c r="D221" s="1169"/>
      <c r="E221" s="1169"/>
    </row>
    <row r="222" spans="1:8" x14ac:dyDescent="0.2">
      <c r="A222" s="1171"/>
      <c r="B222" s="1169"/>
      <c r="C222" s="1169"/>
      <c r="D222" s="1169"/>
      <c r="E222" s="1169"/>
    </row>
    <row r="227" spans="1:5" x14ac:dyDescent="0.2">
      <c r="A227" s="1043"/>
      <c r="B227" s="1045" t="s">
        <v>904</v>
      </c>
      <c r="C227" s="1046"/>
      <c r="D227" s="1047"/>
    </row>
    <row r="228" spans="1:5" ht="25.5" x14ac:dyDescent="0.2">
      <c r="A228" s="1048" t="s">
        <v>859</v>
      </c>
      <c r="B228" s="2010" t="s">
        <v>905</v>
      </c>
      <c r="C228" s="2010"/>
      <c r="D228" s="2010"/>
      <c r="E228" s="2010"/>
    </row>
    <row r="229" spans="1:5" x14ac:dyDescent="0.2">
      <c r="A229" s="1049"/>
      <c r="B229" s="2010"/>
      <c r="C229" s="2010"/>
      <c r="D229" s="2010"/>
      <c r="E229" s="2010"/>
    </row>
    <row r="230" spans="1:5" x14ac:dyDescent="0.2">
      <c r="A230" s="1049"/>
      <c r="B230" s="1050"/>
      <c r="C230" s="1053"/>
      <c r="D230" s="1054"/>
    </row>
    <row r="231" spans="1:5" x14ac:dyDescent="0.2">
      <c r="A231" s="1055" t="s">
        <v>861</v>
      </c>
      <c r="B231" s="1056" t="s">
        <v>862</v>
      </c>
      <c r="C231" s="1057" t="s">
        <v>863</v>
      </c>
      <c r="D231" s="1058" t="s">
        <v>864</v>
      </c>
      <c r="E231" s="1059" t="s">
        <v>83</v>
      </c>
    </row>
    <row r="232" spans="1:5" x14ac:dyDescent="0.2">
      <c r="A232" s="1060" t="s">
        <v>865</v>
      </c>
      <c r="B232" s="1061">
        <v>1135929178</v>
      </c>
      <c r="C232" s="1062">
        <v>0</v>
      </c>
      <c r="D232" s="1065">
        <v>1703893767</v>
      </c>
      <c r="E232" s="1064">
        <f>SUM(B232:D232)</f>
        <v>2839822945</v>
      </c>
    </row>
    <row r="233" spans="1:5" x14ac:dyDescent="0.2">
      <c r="A233" s="1060" t="s">
        <v>866</v>
      </c>
      <c r="B233" s="1061"/>
      <c r="C233" s="1062"/>
      <c r="D233" s="1065"/>
      <c r="E233" s="1064">
        <f>B233+C233</f>
        <v>0</v>
      </c>
    </row>
    <row r="234" spans="1:5" x14ac:dyDescent="0.2">
      <c r="A234" s="1060" t="s">
        <v>867</v>
      </c>
      <c r="B234" s="1061"/>
      <c r="C234" s="1062"/>
      <c r="D234" s="1065"/>
      <c r="E234" s="1064">
        <f>B234+C234</f>
        <v>0</v>
      </c>
    </row>
    <row r="235" spans="1:5" ht="25.5" x14ac:dyDescent="0.2">
      <c r="A235" s="1082" t="s">
        <v>878</v>
      </c>
      <c r="B235" s="1061"/>
      <c r="C235" s="1062">
        <v>0</v>
      </c>
      <c r="D235" s="1065">
        <f>D242+D245</f>
        <v>39159103</v>
      </c>
      <c r="E235" s="1064">
        <f>SUM(B235:D235)</f>
        <v>39159103</v>
      </c>
    </row>
    <row r="236" spans="1:5" x14ac:dyDescent="0.2">
      <c r="A236" s="1066" t="s">
        <v>83</v>
      </c>
      <c r="B236" s="1067">
        <f>SUM(B232:B235)</f>
        <v>1135929178</v>
      </c>
      <c r="C236" s="1067">
        <f>SUM(C232:C235)</f>
        <v>0</v>
      </c>
      <c r="D236" s="1067">
        <f>SUM(D232:D235)</f>
        <v>1743052870</v>
      </c>
      <c r="E236" s="1067">
        <f>SUM(E232:E235)</f>
        <v>2878982048</v>
      </c>
    </row>
    <row r="237" spans="1:5" x14ac:dyDescent="0.2">
      <c r="A237" s="1070"/>
      <c r="B237" s="1071"/>
      <c r="C237" s="1072"/>
      <c r="D237" s="1073"/>
      <c r="E237" s="1074"/>
    </row>
    <row r="238" spans="1:5" ht="38.25" x14ac:dyDescent="0.2">
      <c r="A238" s="1055" t="s">
        <v>868</v>
      </c>
      <c r="B238" s="1075" t="s">
        <v>869</v>
      </c>
      <c r="C238" s="1076" t="s">
        <v>934</v>
      </c>
      <c r="D238" s="1059" t="s">
        <v>864</v>
      </c>
      <c r="E238" s="1077" t="s">
        <v>83</v>
      </c>
    </row>
    <row r="239" spans="1:5" x14ac:dyDescent="0.2">
      <c r="A239" s="1082" t="s">
        <v>879</v>
      </c>
      <c r="B239" s="1061"/>
      <c r="C239" s="1078"/>
      <c r="D239" s="1079"/>
      <c r="E239" s="1064">
        <f>B239+C239</f>
        <v>0</v>
      </c>
    </row>
    <row r="240" spans="1:5" ht="25.5" x14ac:dyDescent="0.2">
      <c r="A240" s="1060" t="s">
        <v>871</v>
      </c>
      <c r="B240" s="1061"/>
      <c r="C240" s="1078"/>
      <c r="D240" s="1079"/>
      <c r="E240" s="1064">
        <f>B240+C240</f>
        <v>0</v>
      </c>
    </row>
    <row r="241" spans="1:6" x14ac:dyDescent="0.2">
      <c r="A241" s="1060" t="s">
        <v>872</v>
      </c>
      <c r="B241" s="1061"/>
      <c r="C241" s="1078"/>
      <c r="D241" s="1079">
        <v>11610380</v>
      </c>
      <c r="E241" s="1064">
        <f>SUM(B241:D241)</f>
        <v>11610380</v>
      </c>
      <c r="F241" s="639">
        <f>SUM(D241:D242)</f>
        <v>14661483</v>
      </c>
    </row>
    <row r="242" spans="1:6" x14ac:dyDescent="0.2">
      <c r="A242" s="1060"/>
      <c r="B242" s="1061"/>
      <c r="C242" s="1078"/>
      <c r="D242" s="1079">
        <f>39159103-D245</f>
        <v>3051103</v>
      </c>
      <c r="E242" s="1064">
        <f>SUM(B242:D242)</f>
        <v>3051103</v>
      </c>
    </row>
    <row r="243" spans="1:6" x14ac:dyDescent="0.2">
      <c r="A243" s="1060" t="s">
        <v>873</v>
      </c>
      <c r="B243" s="1061"/>
      <c r="C243" s="1078"/>
      <c r="D243" s="1079"/>
      <c r="E243" s="1064">
        <f>SUM(B243:D243)</f>
        <v>0</v>
      </c>
    </row>
    <row r="244" spans="1:6" x14ac:dyDescent="0.2">
      <c r="A244" s="1060" t="s">
        <v>874</v>
      </c>
      <c r="B244" s="1061"/>
      <c r="C244" s="1078"/>
      <c r="D244" s="1079">
        <v>2828212565</v>
      </c>
      <c r="E244" s="1064">
        <f>SUM(B244:D244)</f>
        <v>2828212565</v>
      </c>
    </row>
    <row r="245" spans="1:6" ht="25.5" x14ac:dyDescent="0.2">
      <c r="A245" s="1082" t="s">
        <v>878</v>
      </c>
      <c r="B245" s="1061"/>
      <c r="C245" s="1078"/>
      <c r="D245" s="1079">
        <v>36108000</v>
      </c>
      <c r="E245" s="1064">
        <f>SUM(B245:D245)</f>
        <v>36108000</v>
      </c>
      <c r="F245" s="639">
        <f>SUM(D244:D245)</f>
        <v>2864320565</v>
      </c>
    </row>
    <row r="246" spans="1:6" x14ac:dyDescent="0.2">
      <c r="A246" s="1066" t="s">
        <v>83</v>
      </c>
      <c r="B246" s="1067">
        <f>SUM(B239:B245)</f>
        <v>0</v>
      </c>
      <c r="C246" s="1067">
        <f>SUM(C239:C245)</f>
        <v>0</v>
      </c>
      <c r="D246" s="1067">
        <f>SUM(D239:D245)</f>
        <v>2878982048</v>
      </c>
      <c r="E246" s="1067">
        <f>SUM(E239:E245)</f>
        <v>2878982048</v>
      </c>
    </row>
    <row r="249" spans="1:6" x14ac:dyDescent="0.2">
      <c r="A249" s="1043"/>
      <c r="B249" s="1045"/>
      <c r="C249" s="1046"/>
      <c r="D249" s="1047"/>
    </row>
    <row r="250" spans="1:6" ht="25.5" customHeight="1" x14ac:dyDescent="0.2">
      <c r="A250" s="1048"/>
      <c r="B250" s="2010"/>
      <c r="C250" s="2010"/>
      <c r="D250" s="2010"/>
      <c r="E250" s="2010"/>
    </row>
    <row r="251" spans="1:6" x14ac:dyDescent="0.2">
      <c r="A251" s="1049"/>
      <c r="B251" s="1224"/>
      <c r="C251" s="1224"/>
      <c r="D251" s="1224"/>
      <c r="E251" s="1224"/>
    </row>
    <row r="252" spans="1:6" x14ac:dyDescent="0.2">
      <c r="A252" s="1049"/>
      <c r="B252" s="1045" t="s">
        <v>906</v>
      </c>
      <c r="C252" s="1536"/>
      <c r="D252" s="1536"/>
      <c r="E252" s="1536"/>
    </row>
    <row r="253" spans="1:6" ht="25.5" x14ac:dyDescent="0.2">
      <c r="A253" s="1048" t="s">
        <v>859</v>
      </c>
      <c r="B253" s="2010" t="s">
        <v>907</v>
      </c>
      <c r="C253" s="2010"/>
      <c r="D253" s="2010"/>
      <c r="E253" s="2010"/>
    </row>
    <row r="254" spans="1:6" x14ac:dyDescent="0.2">
      <c r="A254" s="1049"/>
      <c r="B254" s="1050"/>
      <c r="C254" s="1053"/>
      <c r="D254" s="1054"/>
    </row>
    <row r="255" spans="1:6" x14ac:dyDescent="0.2">
      <c r="A255" s="1055" t="s">
        <v>861</v>
      </c>
      <c r="B255" s="1056" t="s">
        <v>862</v>
      </c>
      <c r="C255" s="1057" t="s">
        <v>863</v>
      </c>
      <c r="D255" s="1058" t="s">
        <v>864</v>
      </c>
      <c r="E255" s="1059" t="s">
        <v>83</v>
      </c>
      <c r="F255" s="639"/>
    </row>
    <row r="256" spans="1:6" x14ac:dyDescent="0.2">
      <c r="A256" s="1060" t="s">
        <v>865</v>
      </c>
      <c r="B256" s="1061">
        <v>143306680</v>
      </c>
      <c r="C256" s="1062">
        <v>0</v>
      </c>
      <c r="D256" s="1065">
        <v>214959990</v>
      </c>
      <c r="E256" s="1064">
        <f>SUM(B256:D256)</f>
        <v>358266670</v>
      </c>
      <c r="F256" s="639"/>
    </row>
    <row r="257" spans="1:6" x14ac:dyDescent="0.2">
      <c r="A257" s="1060" t="s">
        <v>866</v>
      </c>
      <c r="B257" s="1061"/>
      <c r="C257" s="1062"/>
      <c r="D257" s="1065"/>
      <c r="E257" s="1064">
        <f>B257+C257</f>
        <v>0</v>
      </c>
      <c r="F257" s="639"/>
    </row>
    <row r="258" spans="1:6" x14ac:dyDescent="0.2">
      <c r="A258" s="1060" t="s">
        <v>867</v>
      </c>
      <c r="B258" s="1061"/>
      <c r="C258" s="1062"/>
      <c r="D258" s="1065"/>
      <c r="E258" s="1064">
        <f>B258+C258</f>
        <v>0</v>
      </c>
      <c r="F258" s="639"/>
    </row>
    <row r="259" spans="1:6" ht="25.5" x14ac:dyDescent="0.2">
      <c r="A259" s="1082" t="s">
        <v>878</v>
      </c>
      <c r="B259" s="1061"/>
      <c r="C259" s="1062"/>
      <c r="D259" s="1065">
        <f>D266+D270</f>
        <v>3060000</v>
      </c>
      <c r="E259" s="1064">
        <f>SUM(B259:D259)</f>
        <v>3060000</v>
      </c>
      <c r="F259" s="639"/>
    </row>
    <row r="260" spans="1:6" x14ac:dyDescent="0.2">
      <c r="A260" s="1066" t="s">
        <v>83</v>
      </c>
      <c r="B260" s="1067">
        <f>SUM(B256:B259)</f>
        <v>143306680</v>
      </c>
      <c r="C260" s="1067">
        <f>SUM(C256:C259)</f>
        <v>0</v>
      </c>
      <c r="D260" s="1067">
        <f>SUM(D256:D259)</f>
        <v>218019990</v>
      </c>
      <c r="E260" s="1067">
        <f>SUM(E256:E259)</f>
        <v>361326670</v>
      </c>
      <c r="F260" s="639"/>
    </row>
    <row r="261" spans="1:6" x14ac:dyDescent="0.2">
      <c r="A261" s="1070"/>
      <c r="B261" s="1071"/>
      <c r="C261" s="1072"/>
      <c r="D261" s="1073"/>
      <c r="E261" s="1074"/>
      <c r="F261" s="639"/>
    </row>
    <row r="262" spans="1:6" ht="38.25" x14ac:dyDescent="0.2">
      <c r="A262" s="1055" t="s">
        <v>868</v>
      </c>
      <c r="B262" s="1075" t="s">
        <v>869</v>
      </c>
      <c r="C262" s="1076" t="s">
        <v>934</v>
      </c>
      <c r="D262" s="1059" t="s">
        <v>864</v>
      </c>
      <c r="E262" s="1077" t="s">
        <v>83</v>
      </c>
      <c r="F262" s="639"/>
    </row>
    <row r="263" spans="1:6" x14ac:dyDescent="0.2">
      <c r="A263" s="1082" t="s">
        <v>879</v>
      </c>
      <c r="B263" s="1061"/>
      <c r="C263" s="1078"/>
      <c r="D263" s="1079"/>
      <c r="E263" s="1064">
        <f>B263+C263</f>
        <v>0</v>
      </c>
      <c r="F263" s="639"/>
    </row>
    <row r="264" spans="1:6" ht="25.5" x14ac:dyDescent="0.2">
      <c r="A264" s="1060" t="s">
        <v>871</v>
      </c>
      <c r="B264" s="1061"/>
      <c r="C264" s="1078"/>
      <c r="D264" s="1079"/>
      <c r="E264" s="1064">
        <f>B264+C264</f>
        <v>0</v>
      </c>
      <c r="F264" s="639"/>
    </row>
    <row r="265" spans="1:6" x14ac:dyDescent="0.2">
      <c r="A265" s="1060" t="s">
        <v>872</v>
      </c>
      <c r="B265" s="1061"/>
      <c r="C265" s="1078">
        <v>0</v>
      </c>
      <c r="D265" s="1172">
        <v>4177670</v>
      </c>
      <c r="E265" s="1064">
        <f>SUM(B265:D265)</f>
        <v>4177670</v>
      </c>
      <c r="F265" s="688">
        <f>SUM(D265:D266)</f>
        <v>4636670</v>
      </c>
    </row>
    <row r="266" spans="1:6" ht="25.5" x14ac:dyDescent="0.2">
      <c r="A266" s="1082" t="s">
        <v>878</v>
      </c>
      <c r="B266" s="1061"/>
      <c r="C266" s="1078"/>
      <c r="D266" s="1172">
        <f>3060000-D270</f>
        <v>459000</v>
      </c>
      <c r="E266" s="1064">
        <f>SUM(B266:D266)</f>
        <v>459000</v>
      </c>
      <c r="F266" s="688"/>
    </row>
    <row r="267" spans="1:6" x14ac:dyDescent="0.2">
      <c r="A267" s="1060" t="s">
        <v>873</v>
      </c>
      <c r="B267" s="1061"/>
      <c r="C267" s="1078"/>
      <c r="D267" s="1172"/>
      <c r="E267" s="1064">
        <f t="shared" ref="E267:E270" si="24">SUM(B267:D267)</f>
        <v>0</v>
      </c>
      <c r="F267" s="688"/>
    </row>
    <row r="268" spans="1:6" x14ac:dyDescent="0.2">
      <c r="A268" s="1060" t="s">
        <v>874</v>
      </c>
      <c r="B268" s="1061"/>
      <c r="C268" s="1078">
        <v>0</v>
      </c>
      <c r="D268" s="1172">
        <v>318989000</v>
      </c>
      <c r="E268" s="1064">
        <f t="shared" si="24"/>
        <v>318989000</v>
      </c>
      <c r="F268" s="688">
        <f>D268+D270</f>
        <v>321590000</v>
      </c>
    </row>
    <row r="269" spans="1:6" ht="25.5" x14ac:dyDescent="0.2">
      <c r="A269" s="1082" t="s">
        <v>899</v>
      </c>
      <c r="B269" s="1061"/>
      <c r="C269" s="1078"/>
      <c r="D269" s="1172">
        <v>35100000</v>
      </c>
      <c r="E269" s="1064">
        <f t="shared" si="24"/>
        <v>35100000</v>
      </c>
      <c r="F269" s="688"/>
    </row>
    <row r="270" spans="1:6" ht="25.5" x14ac:dyDescent="0.2">
      <c r="A270" s="1082" t="s">
        <v>878</v>
      </c>
      <c r="B270" s="1061"/>
      <c r="C270" s="1078">
        <v>0</v>
      </c>
      <c r="D270" s="1172">
        <v>2601000</v>
      </c>
      <c r="E270" s="1064">
        <f t="shared" si="24"/>
        <v>2601000</v>
      </c>
      <c r="F270" s="688"/>
    </row>
    <row r="271" spans="1:6" x14ac:dyDescent="0.2">
      <c r="A271" s="1066" t="s">
        <v>83</v>
      </c>
      <c r="B271" s="1067">
        <f>SUM(B263:B270)</f>
        <v>0</v>
      </c>
      <c r="C271" s="1067">
        <f>SUM(C263:C270)</f>
        <v>0</v>
      </c>
      <c r="D271" s="1068">
        <f>SUM(D263:D270)</f>
        <v>361326670</v>
      </c>
      <c r="E271" s="1080">
        <f>SUM(E263:E270)</f>
        <v>361326670</v>
      </c>
      <c r="F271" s="1169"/>
    </row>
    <row r="274" spans="1:6" ht="25.5" customHeight="1" x14ac:dyDescent="0.2">
      <c r="A274" s="1043"/>
      <c r="B274" s="1045" t="s">
        <v>908</v>
      </c>
      <c r="C274" s="1046"/>
      <c r="D274" s="1047"/>
    </row>
    <row r="275" spans="1:6" ht="25.5" x14ac:dyDescent="0.2">
      <c r="A275" s="1048" t="s">
        <v>859</v>
      </c>
      <c r="B275" s="2014" t="s">
        <v>909</v>
      </c>
      <c r="C275" s="2014"/>
      <c r="D275" s="2014"/>
      <c r="E275" s="2014"/>
    </row>
    <row r="276" spans="1:6" x14ac:dyDescent="0.2">
      <c r="A276" s="1049"/>
      <c r="B276" s="2014"/>
      <c r="C276" s="2014"/>
      <c r="D276" s="2014"/>
      <c r="E276" s="2014"/>
    </row>
    <row r="277" spans="1:6" x14ac:dyDescent="0.2">
      <c r="A277" s="1049"/>
      <c r="B277" s="1050"/>
      <c r="C277" s="1053"/>
      <c r="D277" s="1054"/>
    </row>
    <row r="278" spans="1:6" x14ac:dyDescent="0.2">
      <c r="A278" s="1055" t="s">
        <v>861</v>
      </c>
      <c r="B278" s="1056" t="s">
        <v>862</v>
      </c>
      <c r="C278" s="1057" t="s">
        <v>863</v>
      </c>
      <c r="D278" s="1058" t="s">
        <v>864</v>
      </c>
      <c r="E278" s="1059" t="s">
        <v>83</v>
      </c>
    </row>
    <row r="279" spans="1:6" x14ac:dyDescent="0.2">
      <c r="A279" s="1060" t="s">
        <v>865</v>
      </c>
      <c r="B279" s="1061">
        <v>17731712</v>
      </c>
      <c r="C279" s="1062">
        <v>0</v>
      </c>
      <c r="D279" s="1065">
        <v>265941826</v>
      </c>
      <c r="E279" s="1064">
        <f>SUM(B279:D279)</f>
        <v>283673538</v>
      </c>
    </row>
    <row r="280" spans="1:6" x14ac:dyDescent="0.2">
      <c r="A280" s="1060" t="s">
        <v>866</v>
      </c>
      <c r="B280" s="1061"/>
      <c r="C280" s="1062"/>
      <c r="D280" s="1065"/>
      <c r="E280" s="1064">
        <f>SUM(B280:D280)</f>
        <v>0</v>
      </c>
    </row>
    <row r="281" spans="1:6" x14ac:dyDescent="0.2">
      <c r="A281" s="1060" t="s">
        <v>867</v>
      </c>
      <c r="B281" s="1061"/>
      <c r="C281" s="1062">
        <f>C293-B283-C282</f>
        <v>2805504</v>
      </c>
      <c r="D281" s="1065">
        <v>16451854</v>
      </c>
      <c r="E281" s="1064">
        <f>SUM(B281:D281)</f>
        <v>19257358</v>
      </c>
    </row>
    <row r="282" spans="1:6" ht="25.5" x14ac:dyDescent="0.2">
      <c r="A282" s="1082" t="s">
        <v>878</v>
      </c>
      <c r="B282" s="1061"/>
      <c r="C282" s="1062">
        <v>5545048</v>
      </c>
      <c r="D282" s="1065">
        <f>D289+D292</f>
        <v>1834294</v>
      </c>
      <c r="E282" s="1064">
        <f>SUM(B282:D282)</f>
        <v>7379342</v>
      </c>
    </row>
    <row r="283" spans="1:6" x14ac:dyDescent="0.2">
      <c r="A283" s="1066" t="s">
        <v>83</v>
      </c>
      <c r="B283" s="1067">
        <f>SUM(B279:B282)</f>
        <v>17731712</v>
      </c>
      <c r="C283" s="1067">
        <f>SUM(C279:C282)</f>
        <v>8350552</v>
      </c>
      <c r="D283" s="1067">
        <f>SUM(D279:D282)</f>
        <v>284227974</v>
      </c>
      <c r="E283" s="1067">
        <f>SUM(E279:E282)</f>
        <v>310310238</v>
      </c>
    </row>
    <row r="284" spans="1:6" x14ac:dyDescent="0.2">
      <c r="A284" s="1070"/>
      <c r="B284" s="1071"/>
      <c r="C284" s="1072"/>
      <c r="D284" s="1073"/>
      <c r="E284" s="1074"/>
    </row>
    <row r="285" spans="1:6" ht="38.25" x14ac:dyDescent="0.2">
      <c r="A285" s="1055" t="s">
        <v>868</v>
      </c>
      <c r="B285" s="1075" t="s">
        <v>869</v>
      </c>
      <c r="C285" s="1076" t="s">
        <v>934</v>
      </c>
      <c r="D285" s="1059" t="s">
        <v>864</v>
      </c>
      <c r="E285" s="1077" t="s">
        <v>83</v>
      </c>
    </row>
    <row r="286" spans="1:6" x14ac:dyDescent="0.2">
      <c r="A286" s="1082" t="s">
        <v>879</v>
      </c>
      <c r="B286" s="1061"/>
      <c r="C286" s="1078"/>
      <c r="D286" s="1079"/>
      <c r="E286" s="1064">
        <f>B286+C286</f>
        <v>0</v>
      </c>
    </row>
    <row r="287" spans="1:6" ht="25.5" x14ac:dyDescent="0.2">
      <c r="A287" s="1060" t="s">
        <v>871</v>
      </c>
      <c r="B287" s="1061"/>
      <c r="C287" s="1078"/>
      <c r="D287" s="1079"/>
      <c r="E287" s="1064">
        <f>B287+C287</f>
        <v>0</v>
      </c>
    </row>
    <row r="288" spans="1:6" x14ac:dyDescent="0.2">
      <c r="A288" s="1060" t="s">
        <v>872</v>
      </c>
      <c r="B288" s="1061"/>
      <c r="C288" s="1078">
        <v>2750000</v>
      </c>
      <c r="D288" s="1079">
        <v>3660000</v>
      </c>
      <c r="E288" s="1064">
        <f>SUM(B288:D288)</f>
        <v>6410000</v>
      </c>
      <c r="F288" s="639">
        <f>SUM(D288:D289)</f>
        <v>4648200</v>
      </c>
    </row>
    <row r="289" spans="1:6" ht="25.5" x14ac:dyDescent="0.2">
      <c r="A289" s="1082" t="s">
        <v>878</v>
      </c>
      <c r="B289" s="1061"/>
      <c r="C289" s="1078"/>
      <c r="D289" s="1079">
        <f>1834294-D292</f>
        <v>988200</v>
      </c>
      <c r="E289" s="1064">
        <f>SUM(B289:D289)</f>
        <v>988200</v>
      </c>
    </row>
    <row r="290" spans="1:6" x14ac:dyDescent="0.2">
      <c r="A290" s="1060" t="s">
        <v>873</v>
      </c>
      <c r="B290" s="1061"/>
      <c r="C290" s="1078"/>
      <c r="D290" s="1079"/>
      <c r="E290" s="1064">
        <f>SUM(B290:D290)</f>
        <v>0</v>
      </c>
    </row>
    <row r="291" spans="1:6" x14ac:dyDescent="0.2">
      <c r="A291" s="1060" t="s">
        <v>874</v>
      </c>
      <c r="B291" s="1061"/>
      <c r="C291" s="1078">
        <v>17787216</v>
      </c>
      <c r="D291" s="1079">
        <v>278733680</v>
      </c>
      <c r="E291" s="1064">
        <f>SUM(B291:D291)</f>
        <v>296520896</v>
      </c>
      <c r="F291" s="639">
        <f>SUM(D291:D292)</f>
        <v>279579774</v>
      </c>
    </row>
    <row r="292" spans="1:6" ht="25.5" x14ac:dyDescent="0.2">
      <c r="A292" s="1082" t="s">
        <v>878</v>
      </c>
      <c r="B292" s="1061"/>
      <c r="C292" s="1078">
        <v>5545048</v>
      </c>
      <c r="D292" s="1079">
        <v>846094</v>
      </c>
      <c r="E292" s="1064">
        <f>SUM(B292:D292)</f>
        <v>6391142</v>
      </c>
    </row>
    <row r="293" spans="1:6" x14ac:dyDescent="0.2">
      <c r="A293" s="1066" t="s">
        <v>83</v>
      </c>
      <c r="B293" s="1067">
        <f>SUM(B286:B292)</f>
        <v>0</v>
      </c>
      <c r="C293" s="1067">
        <f>SUM(C286:C292)</f>
        <v>26082264</v>
      </c>
      <c r="D293" s="1067">
        <f>SUM(D286:D292)</f>
        <v>284227974</v>
      </c>
      <c r="E293" s="1067">
        <f>SUM(E286:E292)</f>
        <v>310310238</v>
      </c>
    </row>
    <row r="296" spans="1:6" x14ac:dyDescent="0.2">
      <c r="A296" s="1043"/>
      <c r="B296" s="1045" t="s">
        <v>910</v>
      </c>
      <c r="C296" s="1046"/>
      <c r="D296" s="1047"/>
    </row>
    <row r="297" spans="1:6" ht="25.5" x14ac:dyDescent="0.2">
      <c r="A297" s="1048" t="s">
        <v>859</v>
      </c>
      <c r="B297" s="2014" t="s">
        <v>911</v>
      </c>
      <c r="C297" s="2014"/>
      <c r="D297" s="2014"/>
      <c r="E297" s="2014"/>
    </row>
    <row r="298" spans="1:6" x14ac:dyDescent="0.2">
      <c r="A298" s="1049"/>
      <c r="B298" s="2014"/>
      <c r="C298" s="2014"/>
      <c r="D298" s="2014"/>
      <c r="E298" s="2014"/>
    </row>
    <row r="299" spans="1:6" x14ac:dyDescent="0.2">
      <c r="A299" s="1049"/>
      <c r="B299" s="1050"/>
      <c r="C299" s="1053"/>
      <c r="D299" s="1052"/>
    </row>
    <row r="300" spans="1:6" x14ac:dyDescent="0.2">
      <c r="A300" s="1055" t="s">
        <v>861</v>
      </c>
      <c r="B300" s="1056" t="s">
        <v>863</v>
      </c>
      <c r="C300" s="1076" t="s">
        <v>916</v>
      </c>
      <c r="D300" s="1059" t="s">
        <v>83</v>
      </c>
      <c r="E300" s="1167"/>
    </row>
    <row r="301" spans="1:6" x14ac:dyDescent="0.2">
      <c r="A301" s="1060" t="s">
        <v>865</v>
      </c>
      <c r="B301" s="1061">
        <v>45952151</v>
      </c>
      <c r="C301" s="1078"/>
      <c r="D301" s="1173">
        <f>SUM(B301:C301)</f>
        <v>45952151</v>
      </c>
      <c r="E301" s="1168"/>
    </row>
    <row r="302" spans="1:6" x14ac:dyDescent="0.2">
      <c r="A302" s="1060" t="s">
        <v>866</v>
      </c>
      <c r="B302" s="1061"/>
      <c r="C302" s="1078"/>
      <c r="D302" s="1173">
        <f t="shared" ref="D302:D304" si="25">SUM(B302:C302)</f>
        <v>0</v>
      </c>
      <c r="E302" s="1168"/>
    </row>
    <row r="303" spans="1:6" x14ac:dyDescent="0.2">
      <c r="A303" s="1060" t="s">
        <v>867</v>
      </c>
      <c r="B303" s="1061"/>
      <c r="C303" s="1078"/>
      <c r="D303" s="1173">
        <f t="shared" si="25"/>
        <v>0</v>
      </c>
      <c r="E303" s="1168"/>
    </row>
    <row r="304" spans="1:6" ht="25.5" x14ac:dyDescent="0.2">
      <c r="A304" s="1082" t="s">
        <v>878</v>
      </c>
      <c r="B304" s="1061"/>
      <c r="C304" s="1078">
        <f>C311+C314</f>
        <v>5228575</v>
      </c>
      <c r="D304" s="1173">
        <f t="shared" si="25"/>
        <v>5228575</v>
      </c>
      <c r="E304" s="1168"/>
    </row>
    <row r="305" spans="1:5" x14ac:dyDescent="0.2">
      <c r="A305" s="1066" t="s">
        <v>83</v>
      </c>
      <c r="B305" s="1067">
        <f>SUM(B301:B304)</f>
        <v>45952151</v>
      </c>
      <c r="C305" s="1068">
        <f>SUM(C301:C304)</f>
        <v>5228575</v>
      </c>
      <c r="D305" s="1080">
        <f>SUM(D301:D304)</f>
        <v>51180726</v>
      </c>
      <c r="E305" s="1169"/>
    </row>
    <row r="306" spans="1:5" x14ac:dyDescent="0.2">
      <c r="A306" s="1070"/>
      <c r="B306" s="1071"/>
      <c r="C306" s="1072"/>
      <c r="D306" s="1174"/>
      <c r="E306" s="1074"/>
    </row>
    <row r="307" spans="1:5" ht="38.25" x14ac:dyDescent="0.2">
      <c r="A307" s="1055" t="s">
        <v>868</v>
      </c>
      <c r="B307" s="1076" t="s">
        <v>934</v>
      </c>
      <c r="C307" s="1076" t="s">
        <v>916</v>
      </c>
      <c r="D307" s="1059" t="s">
        <v>83</v>
      </c>
      <c r="E307" s="1170"/>
    </row>
    <row r="308" spans="1:5" x14ac:dyDescent="0.2">
      <c r="A308" s="1082" t="s">
        <v>879</v>
      </c>
      <c r="B308" s="1061"/>
      <c r="C308" s="1078"/>
      <c r="D308" s="1079"/>
      <c r="E308" s="1168"/>
    </row>
    <row r="309" spans="1:5" ht="25.5" x14ac:dyDescent="0.2">
      <c r="A309" s="1060" t="s">
        <v>871</v>
      </c>
      <c r="B309" s="1061"/>
      <c r="C309" s="1078"/>
      <c r="D309" s="1079"/>
      <c r="E309" s="1168"/>
    </row>
    <row r="310" spans="1:5" x14ac:dyDescent="0.2">
      <c r="A310" s="1060" t="s">
        <v>872</v>
      </c>
      <c r="B310" s="1061"/>
      <c r="C310" s="1078">
        <v>1161600</v>
      </c>
      <c r="D310" s="1079">
        <f>SUM(C310)</f>
        <v>1161600</v>
      </c>
      <c r="E310" s="1168">
        <f>SUM(C310:C311)</f>
        <v>1475232</v>
      </c>
    </row>
    <row r="311" spans="1:5" ht="25.5" x14ac:dyDescent="0.2">
      <c r="A311" s="1082" t="s">
        <v>878</v>
      </c>
      <c r="B311" s="1061"/>
      <c r="C311" s="1078">
        <f>5228575-C314</f>
        <v>313632</v>
      </c>
      <c r="D311" s="1079">
        <f>SUM(C311)</f>
        <v>313632</v>
      </c>
      <c r="E311" s="1168"/>
    </row>
    <row r="312" spans="1:5" x14ac:dyDescent="0.2">
      <c r="A312" s="1060" t="s">
        <v>873</v>
      </c>
      <c r="B312" s="1061"/>
      <c r="C312" s="1078"/>
      <c r="D312" s="1079">
        <f t="shared" ref="D312:D314" si="26">SUM(C312)</f>
        <v>0</v>
      </c>
      <c r="E312" s="1168"/>
    </row>
    <row r="313" spans="1:5" x14ac:dyDescent="0.2">
      <c r="A313" s="1060" t="s">
        <v>874</v>
      </c>
      <c r="B313" s="1061"/>
      <c r="C313" s="1078">
        <v>44790551</v>
      </c>
      <c r="D313" s="1079">
        <f t="shared" si="26"/>
        <v>44790551</v>
      </c>
      <c r="E313" s="1168">
        <f>SUM(C313:C314)</f>
        <v>49705494</v>
      </c>
    </row>
    <row r="314" spans="1:5" ht="25.5" x14ac:dyDescent="0.2">
      <c r="A314" s="1082" t="s">
        <v>878</v>
      </c>
      <c r="B314" s="1061"/>
      <c r="C314" s="1078">
        <v>4914943</v>
      </c>
      <c r="D314" s="1079">
        <f t="shared" si="26"/>
        <v>4914943</v>
      </c>
      <c r="E314" s="1168"/>
    </row>
    <row r="315" spans="1:5" x14ac:dyDescent="0.2">
      <c r="A315" s="1066" t="s">
        <v>83</v>
      </c>
      <c r="B315" s="1067">
        <f>SUM(B308:B314)</f>
        <v>0</v>
      </c>
      <c r="C315" s="1068">
        <f>SUM(C308:C314)</f>
        <v>51180726</v>
      </c>
      <c r="D315" s="1080">
        <f>SUM(D308:D314)</f>
        <v>51180726</v>
      </c>
      <c r="E315" s="1169"/>
    </row>
    <row r="320" spans="1:5" x14ac:dyDescent="0.2">
      <c r="A320" s="1043"/>
      <c r="B320" s="1045" t="s">
        <v>912</v>
      </c>
      <c r="C320" s="1046"/>
      <c r="D320" s="1047"/>
    </row>
    <row r="321" spans="1:5" ht="25.5" x14ac:dyDescent="0.2">
      <c r="A321" s="1048" t="s">
        <v>859</v>
      </c>
      <c r="B321" s="2010" t="s">
        <v>913</v>
      </c>
      <c r="C321" s="2010"/>
      <c r="D321" s="2010"/>
      <c r="E321" s="2010"/>
    </row>
    <row r="322" spans="1:5" x14ac:dyDescent="0.2">
      <c r="A322" s="1049"/>
      <c r="B322" s="1050"/>
      <c r="C322" s="1051"/>
      <c r="D322" s="1052"/>
    </row>
    <row r="323" spans="1:5" x14ac:dyDescent="0.2">
      <c r="A323" s="1049"/>
      <c r="B323" s="1050"/>
      <c r="C323" s="1053"/>
      <c r="D323" s="1054"/>
    </row>
    <row r="324" spans="1:5" x14ac:dyDescent="0.2">
      <c r="A324" s="1055" t="s">
        <v>861</v>
      </c>
      <c r="B324" s="1057" t="s">
        <v>863</v>
      </c>
      <c r="C324" s="1058" t="s">
        <v>864</v>
      </c>
      <c r="D324" s="1058" t="s">
        <v>914</v>
      </c>
      <c r="E324" s="1059" t="s">
        <v>83</v>
      </c>
    </row>
    <row r="325" spans="1:5" x14ac:dyDescent="0.2">
      <c r="A325" s="1060" t="s">
        <v>865</v>
      </c>
      <c r="B325" s="1062">
        <v>81935000</v>
      </c>
      <c r="C325" s="1063"/>
      <c r="D325" s="1063"/>
      <c r="E325" s="1064">
        <f>B325+C325</f>
        <v>81935000</v>
      </c>
    </row>
    <row r="326" spans="1:5" x14ac:dyDescent="0.2">
      <c r="A326" s="1060" t="s">
        <v>866</v>
      </c>
      <c r="B326" s="1062"/>
      <c r="C326" s="1065"/>
      <c r="D326" s="1065"/>
      <c r="E326" s="1064">
        <f>B326+C326</f>
        <v>0</v>
      </c>
    </row>
    <row r="327" spans="1:5" x14ac:dyDescent="0.2">
      <c r="A327" s="1060" t="s">
        <v>867</v>
      </c>
      <c r="B327" s="1062">
        <f>94542171-56412712+589788-773200</f>
        <v>37946047</v>
      </c>
      <c r="C327" s="1065"/>
      <c r="D327" s="1065"/>
      <c r="E327" s="1064">
        <f>B327+C327</f>
        <v>37946047</v>
      </c>
    </row>
    <row r="328" spans="1:5" x14ac:dyDescent="0.2">
      <c r="A328" s="1066" t="s">
        <v>83</v>
      </c>
      <c r="B328" s="1067">
        <f>SUM(B325:B327)</f>
        <v>119881047</v>
      </c>
      <c r="C328" s="1068">
        <f>SUM(C325:C327)</f>
        <v>0</v>
      </c>
      <c r="D328" s="1068">
        <f>SUM(D325:D327)</f>
        <v>0</v>
      </c>
      <c r="E328" s="1069">
        <f>B328+C328</f>
        <v>119881047</v>
      </c>
    </row>
    <row r="329" spans="1:5" x14ac:dyDescent="0.2">
      <c r="A329" s="1070"/>
      <c r="B329" s="1072"/>
      <c r="C329" s="1073"/>
      <c r="D329" s="1073"/>
      <c r="E329" s="1074"/>
    </row>
    <row r="330" spans="1:5" ht="38.25" x14ac:dyDescent="0.2">
      <c r="A330" s="1055" t="s">
        <v>868</v>
      </c>
      <c r="B330" s="1076" t="s">
        <v>934</v>
      </c>
      <c r="C330" s="1059" t="s">
        <v>864</v>
      </c>
      <c r="D330" s="1059" t="s">
        <v>914</v>
      </c>
      <c r="E330" s="1077" t="s">
        <v>83</v>
      </c>
    </row>
    <row r="331" spans="1:5" ht="25.5" x14ac:dyDescent="0.2">
      <c r="A331" s="1060" t="s">
        <v>870</v>
      </c>
      <c r="B331" s="1078">
        <v>0</v>
      </c>
      <c r="C331" s="1079">
        <v>1434728</v>
      </c>
      <c r="D331" s="1079"/>
      <c r="E331" s="1064">
        <f t="shared" ref="E331:E335" si="27">B331+C331</f>
        <v>1434728</v>
      </c>
    </row>
    <row r="332" spans="1:5" ht="25.5" x14ac:dyDescent="0.2">
      <c r="A332" s="1060" t="s">
        <v>871</v>
      </c>
      <c r="B332" s="1078">
        <v>0</v>
      </c>
      <c r="C332" s="1079">
        <v>279772</v>
      </c>
      <c r="D332" s="1079"/>
      <c r="E332" s="1064">
        <f t="shared" si="27"/>
        <v>279772</v>
      </c>
    </row>
    <row r="333" spans="1:5" x14ac:dyDescent="0.2">
      <c r="A333" s="1060" t="s">
        <v>872</v>
      </c>
      <c r="B333" s="1078">
        <v>3385000</v>
      </c>
      <c r="C333" s="1079">
        <v>142061</v>
      </c>
      <c r="D333" s="1079"/>
      <c r="E333" s="1064">
        <f t="shared" si="27"/>
        <v>3527061</v>
      </c>
    </row>
    <row r="334" spans="1:5" x14ac:dyDescent="0.2">
      <c r="A334" s="1082" t="s">
        <v>874</v>
      </c>
      <c r="B334" s="1078">
        <v>87104397</v>
      </c>
      <c r="C334" s="1079">
        <v>27535089</v>
      </c>
      <c r="D334" s="1079"/>
      <c r="E334" s="1064">
        <f t="shared" si="27"/>
        <v>114639486</v>
      </c>
    </row>
    <row r="335" spans="1:5" x14ac:dyDescent="0.2">
      <c r="A335" s="1082" t="s">
        <v>873</v>
      </c>
      <c r="B335" s="1078">
        <v>0</v>
      </c>
      <c r="C335" s="1079"/>
      <c r="D335" s="1079"/>
      <c r="E335" s="1064">
        <f t="shared" si="27"/>
        <v>0</v>
      </c>
    </row>
    <row r="336" spans="1:5" x14ac:dyDescent="0.2">
      <c r="A336" s="1066" t="s">
        <v>83</v>
      </c>
      <c r="B336" s="1068">
        <f>SUM(B331:B335)</f>
        <v>90489397</v>
      </c>
      <c r="C336" s="1068">
        <f>SUM(C331:C335)</f>
        <v>29391650</v>
      </c>
      <c r="D336" s="1080">
        <f>SUM(D331:D335)</f>
        <v>0</v>
      </c>
      <c r="E336" s="1069">
        <f>SUM(E331:E335)</f>
        <v>119881047</v>
      </c>
    </row>
    <row r="340" spans="1:6" x14ac:dyDescent="0.2">
      <c r="A340" s="1043"/>
      <c r="B340" s="1175"/>
      <c r="C340" s="1176"/>
      <c r="D340" s="1177"/>
    </row>
    <row r="341" spans="1:6" x14ac:dyDescent="0.2">
      <c r="A341" s="1048"/>
      <c r="B341" s="2010"/>
      <c r="C341" s="2010"/>
      <c r="D341" s="2010"/>
      <c r="E341" s="2010"/>
    </row>
    <row r="342" spans="1:6" x14ac:dyDescent="0.2">
      <c r="A342" s="1049"/>
      <c r="B342" s="1175" t="s">
        <v>935</v>
      </c>
      <c r="C342" s="1176"/>
      <c r="D342" s="1052"/>
    </row>
    <row r="343" spans="1:6" ht="25.5" x14ac:dyDescent="0.2">
      <c r="A343" s="1048" t="s">
        <v>859</v>
      </c>
      <c r="B343" s="2010" t="s">
        <v>936</v>
      </c>
      <c r="C343" s="2010"/>
      <c r="D343" s="2010"/>
      <c r="E343" s="2010"/>
    </row>
    <row r="344" spans="1:6" x14ac:dyDescent="0.2">
      <c r="A344" s="1049"/>
      <c r="B344" s="1050"/>
      <c r="C344" s="1053"/>
      <c r="D344" s="1054"/>
    </row>
    <row r="345" spans="1:6" ht="25.5" customHeight="1" x14ac:dyDescent="0.2">
      <c r="A345" s="1055" t="s">
        <v>861</v>
      </c>
      <c r="B345" s="1057" t="s">
        <v>863</v>
      </c>
      <c r="C345" s="1058" t="s">
        <v>864</v>
      </c>
      <c r="D345" s="1058" t="s">
        <v>914</v>
      </c>
      <c r="E345" s="1059" t="s">
        <v>83</v>
      </c>
    </row>
    <row r="346" spans="1:6" x14ac:dyDescent="0.2">
      <c r="A346" s="1060" t="s">
        <v>865</v>
      </c>
      <c r="B346" s="1062">
        <v>0</v>
      </c>
      <c r="C346" s="1063">
        <v>85000000</v>
      </c>
      <c r="D346" s="1063"/>
      <c r="E346" s="1064">
        <f>B346+C346</f>
        <v>85000000</v>
      </c>
    </row>
    <row r="347" spans="1:6" x14ac:dyDescent="0.2">
      <c r="A347" s="1060" t="s">
        <v>866</v>
      </c>
      <c r="B347" s="1062"/>
      <c r="C347" s="1065"/>
      <c r="D347" s="1065"/>
      <c r="E347" s="1064">
        <f>B347+C347</f>
        <v>0</v>
      </c>
    </row>
    <row r="348" spans="1:6" x14ac:dyDescent="0.2">
      <c r="A348" s="1060" t="s">
        <v>867</v>
      </c>
      <c r="B348" s="1062">
        <v>94746808</v>
      </c>
      <c r="C348" s="1065">
        <v>-57547243</v>
      </c>
      <c r="D348" s="1065"/>
      <c r="E348" s="1064">
        <f>B348+C348</f>
        <v>37199565</v>
      </c>
    </row>
    <row r="349" spans="1:6" x14ac:dyDescent="0.2">
      <c r="A349" s="1066" t="s">
        <v>83</v>
      </c>
      <c r="B349" s="1067">
        <f>SUM(B346:B348)</f>
        <v>94746808</v>
      </c>
      <c r="C349" s="1068">
        <f>SUM(C346:C348)</f>
        <v>27452757</v>
      </c>
      <c r="D349" s="1068">
        <f>SUM(D346:D348)</f>
        <v>0</v>
      </c>
      <c r="E349" s="1069">
        <f>B349+C349</f>
        <v>122199565</v>
      </c>
      <c r="F349" s="639">
        <f>E349-E357</f>
        <v>0</v>
      </c>
    </row>
    <row r="350" spans="1:6" x14ac:dyDescent="0.2">
      <c r="A350" s="1070"/>
      <c r="B350" s="1072"/>
      <c r="C350" s="1073"/>
      <c r="D350" s="1073"/>
      <c r="E350" s="1074"/>
    </row>
    <row r="351" spans="1:6" ht="38.25" x14ac:dyDescent="0.2">
      <c r="A351" s="1055" t="s">
        <v>868</v>
      </c>
      <c r="B351" s="1076" t="s">
        <v>934</v>
      </c>
      <c r="C351" s="1059" t="s">
        <v>864</v>
      </c>
      <c r="D351" s="1059" t="s">
        <v>914</v>
      </c>
      <c r="E351" s="1077" t="s">
        <v>83</v>
      </c>
    </row>
    <row r="352" spans="1:6" ht="25.5" x14ac:dyDescent="0.2">
      <c r="A352" s="1060" t="s">
        <v>870</v>
      </c>
      <c r="B352" s="1078">
        <v>0</v>
      </c>
      <c r="C352" s="1079"/>
      <c r="D352" s="1079"/>
      <c r="E352" s="1064">
        <f t="shared" ref="E352:E356" si="28">B352+C352</f>
        <v>0</v>
      </c>
    </row>
    <row r="353" spans="1:6" ht="25.5" x14ac:dyDescent="0.2">
      <c r="A353" s="1060" t="s">
        <v>871</v>
      </c>
      <c r="B353" s="1078">
        <v>0</v>
      </c>
      <c r="C353" s="1079"/>
      <c r="D353" s="1079"/>
      <c r="E353" s="1064">
        <f t="shared" si="28"/>
        <v>0</v>
      </c>
    </row>
    <row r="354" spans="1:6" x14ac:dyDescent="0.2">
      <c r="A354" s="1060" t="s">
        <v>872</v>
      </c>
      <c r="B354" s="1078"/>
      <c r="C354" s="1079"/>
      <c r="D354" s="1079"/>
      <c r="E354" s="1064">
        <f t="shared" si="28"/>
        <v>0</v>
      </c>
    </row>
    <row r="355" spans="1:6" x14ac:dyDescent="0.2">
      <c r="A355" s="1082" t="s">
        <v>874</v>
      </c>
      <c r="B355" s="1078">
        <v>94746808</v>
      </c>
      <c r="C355" s="1079">
        <v>27452757</v>
      </c>
      <c r="D355" s="1079"/>
      <c r="E355" s="1064">
        <f t="shared" si="28"/>
        <v>122199565</v>
      </c>
    </row>
    <row r="356" spans="1:6" x14ac:dyDescent="0.2">
      <c r="A356" s="1082" t="s">
        <v>873</v>
      </c>
      <c r="B356" s="1078">
        <v>0</v>
      </c>
      <c r="C356" s="1079"/>
      <c r="D356" s="1079"/>
      <c r="E356" s="1064">
        <f t="shared" si="28"/>
        <v>0</v>
      </c>
    </row>
    <row r="357" spans="1:6" x14ac:dyDescent="0.2">
      <c r="A357" s="1066" t="s">
        <v>83</v>
      </c>
      <c r="B357" s="1068">
        <f>SUM(B352:B356)</f>
        <v>94746808</v>
      </c>
      <c r="C357" s="1068">
        <f>SUM(C352:C356)</f>
        <v>27452757</v>
      </c>
      <c r="D357" s="1080">
        <f>SUM(D352:D356)</f>
        <v>0</v>
      </c>
      <c r="E357" s="1159">
        <f>SUM(E352:E356)</f>
        <v>122199565</v>
      </c>
      <c r="F357" s="1015"/>
    </row>
    <row r="360" spans="1:6" x14ac:dyDescent="0.2">
      <c r="A360" s="1043"/>
      <c r="B360" s="1045" t="s">
        <v>937</v>
      </c>
      <c r="C360" s="1086"/>
      <c r="D360" s="1047"/>
      <c r="E360" s="1046"/>
    </row>
    <row r="361" spans="1:6" ht="25.5" x14ac:dyDescent="0.2">
      <c r="A361" s="1048" t="s">
        <v>859</v>
      </c>
      <c r="B361" s="2009" t="s">
        <v>915</v>
      </c>
      <c r="C361" s="2009"/>
      <c r="D361" s="2009"/>
      <c r="E361" s="2009"/>
    </row>
    <row r="362" spans="1:6" x14ac:dyDescent="0.2">
      <c r="A362" s="1049"/>
      <c r="B362" s="1087"/>
      <c r="C362" s="1052"/>
      <c r="D362" s="1052"/>
      <c r="E362" s="1051"/>
    </row>
    <row r="363" spans="1:6" x14ac:dyDescent="0.2">
      <c r="A363" s="1049"/>
      <c r="B363" s="1050"/>
      <c r="C363" s="1054"/>
      <c r="D363" s="1054"/>
      <c r="E363" s="1053"/>
    </row>
    <row r="364" spans="1:6" x14ac:dyDescent="0.2">
      <c r="A364" s="1055" t="s">
        <v>861</v>
      </c>
      <c r="B364" s="1056" t="s">
        <v>897</v>
      </c>
      <c r="C364" s="1057" t="s">
        <v>916</v>
      </c>
      <c r="D364" s="1058" t="s">
        <v>914</v>
      </c>
      <c r="E364" s="1059" t="s">
        <v>83</v>
      </c>
    </row>
    <row r="365" spans="1:6" x14ac:dyDescent="0.2">
      <c r="A365" s="1060" t="s">
        <v>865</v>
      </c>
      <c r="B365" s="1061"/>
      <c r="C365" s="1061">
        <f>1114605492+30000000-9088012</f>
        <v>1135517480</v>
      </c>
      <c r="D365" s="1065"/>
      <c r="E365" s="1064">
        <f>SUM(B365:D365)</f>
        <v>1135517480</v>
      </c>
    </row>
    <row r="366" spans="1:6" x14ac:dyDescent="0.2">
      <c r="A366" s="1060" t="s">
        <v>866</v>
      </c>
      <c r="B366" s="1061"/>
      <c r="C366" s="1061"/>
      <c r="D366" s="1065"/>
      <c r="E366" s="1064">
        <f>SUM(B366:D366)</f>
        <v>0</v>
      </c>
    </row>
    <row r="367" spans="1:6" x14ac:dyDescent="0.2">
      <c r="A367" s="1060" t="s">
        <v>867</v>
      </c>
      <c r="B367" s="1061">
        <v>20975000</v>
      </c>
      <c r="C367" s="1061">
        <f>7896000-20975000+9088012</f>
        <v>-3990988</v>
      </c>
      <c r="D367" s="1065"/>
      <c r="E367" s="1064">
        <f>SUM(B367:D367)</f>
        <v>16984012</v>
      </c>
    </row>
    <row r="368" spans="1:6" ht="25.5" x14ac:dyDescent="0.2">
      <c r="A368" s="1082" t="s">
        <v>878</v>
      </c>
      <c r="B368" s="1061">
        <f>B375+B378</f>
        <v>5663250</v>
      </c>
      <c r="C368" s="1062">
        <f>25521750-337500</f>
        <v>25184250</v>
      </c>
      <c r="D368" s="1065"/>
      <c r="E368" s="1064">
        <f>SUM(B368:D368)</f>
        <v>30847500</v>
      </c>
    </row>
    <row r="369" spans="1:6" x14ac:dyDescent="0.2">
      <c r="A369" s="1066" t="s">
        <v>83</v>
      </c>
      <c r="B369" s="1067">
        <f>SUM(B365:B368)</f>
        <v>26638250</v>
      </c>
      <c r="C369" s="1067">
        <f>SUM(C365:C368)</f>
        <v>1156710742</v>
      </c>
      <c r="D369" s="1067">
        <f>SUM(D365:D368)</f>
        <v>0</v>
      </c>
      <c r="E369" s="1067">
        <f>SUM(E365:E368)</f>
        <v>1183348992</v>
      </c>
    </row>
    <row r="370" spans="1:6" x14ac:dyDescent="0.2">
      <c r="A370" s="1070"/>
      <c r="B370" s="1071"/>
      <c r="C370" s="1072"/>
      <c r="D370" s="1073"/>
      <c r="E370" s="1074"/>
    </row>
    <row r="371" spans="1:6" ht="38.25" x14ac:dyDescent="0.2">
      <c r="A371" s="1055" t="s">
        <v>868</v>
      </c>
      <c r="B371" s="1076" t="s">
        <v>934</v>
      </c>
      <c r="C371" s="1057" t="s">
        <v>916</v>
      </c>
      <c r="D371" s="1058" t="s">
        <v>914</v>
      </c>
      <c r="E371" s="1059" t="s">
        <v>83</v>
      </c>
    </row>
    <row r="372" spans="1:6" x14ac:dyDescent="0.2">
      <c r="A372" s="1082" t="s">
        <v>879</v>
      </c>
      <c r="B372" s="1061"/>
      <c r="C372" s="1078"/>
      <c r="D372" s="1079"/>
      <c r="E372" s="1064">
        <f t="shared" ref="E372:E378" si="29">SUM(B372:D372)</f>
        <v>0</v>
      </c>
    </row>
    <row r="373" spans="1:6" ht="25.5" x14ac:dyDescent="0.2">
      <c r="A373" s="1060" t="s">
        <v>871</v>
      </c>
      <c r="B373" s="1061"/>
      <c r="C373" s="1078"/>
      <c r="D373" s="1079"/>
      <c r="E373" s="1064">
        <f t="shared" si="29"/>
        <v>0</v>
      </c>
    </row>
    <row r="374" spans="1:6" x14ac:dyDescent="0.2">
      <c r="A374" s="1060" t="s">
        <v>872</v>
      </c>
      <c r="B374" s="1061">
        <v>6000000</v>
      </c>
      <c r="C374" s="1078">
        <v>32500000</v>
      </c>
      <c r="D374" s="1079">
        <v>0</v>
      </c>
      <c r="E374" s="1064">
        <f t="shared" si="29"/>
        <v>38500000</v>
      </c>
      <c r="F374" s="639">
        <f>SUM(C374:C375)</f>
        <v>41275000</v>
      </c>
    </row>
    <row r="375" spans="1:6" ht="25.5" x14ac:dyDescent="0.2">
      <c r="A375" s="1082" t="s">
        <v>878</v>
      </c>
      <c r="B375" s="1061">
        <v>1620000</v>
      </c>
      <c r="C375" s="1078">
        <v>8775000</v>
      </c>
      <c r="D375" s="1079"/>
      <c r="E375" s="1064">
        <f t="shared" si="29"/>
        <v>10395000</v>
      </c>
    </row>
    <row r="376" spans="1:6" x14ac:dyDescent="0.2">
      <c r="A376" s="1060" t="s">
        <v>873</v>
      </c>
      <c r="B376" s="1061"/>
      <c r="C376" s="1078"/>
      <c r="D376" s="1079">
        <v>0</v>
      </c>
      <c r="E376" s="1064">
        <f t="shared" si="29"/>
        <v>0</v>
      </c>
    </row>
    <row r="377" spans="1:6" x14ac:dyDescent="0.2">
      <c r="A377" s="1060" t="s">
        <v>874</v>
      </c>
      <c r="B377" s="1061">
        <v>14975000</v>
      </c>
      <c r="C377" s="1078">
        <f>1061130492+37896000</f>
        <v>1099026492</v>
      </c>
      <c r="D377" s="1079">
        <v>0</v>
      </c>
      <c r="E377" s="1064">
        <f t="shared" si="29"/>
        <v>1114001492</v>
      </c>
      <c r="F377" s="639">
        <f>SUM(C377:C378)</f>
        <v>1115435742</v>
      </c>
    </row>
    <row r="378" spans="1:6" s="1015" customFormat="1" ht="25.5" x14ac:dyDescent="0.2">
      <c r="A378" s="1098" t="s">
        <v>878</v>
      </c>
      <c r="B378" s="1099">
        <v>4043250</v>
      </c>
      <c r="C378" s="1100">
        <f>16746750-337500</f>
        <v>16409250</v>
      </c>
      <c r="D378" s="1079">
        <v>0</v>
      </c>
      <c r="E378" s="1064">
        <f t="shared" si="29"/>
        <v>20452500</v>
      </c>
      <c r="F378"/>
    </row>
    <row r="379" spans="1:6" x14ac:dyDescent="0.2">
      <c r="A379" s="1092" t="s">
        <v>83</v>
      </c>
      <c r="B379" s="1093">
        <f>SUM(B372:B378)</f>
        <v>26638250</v>
      </c>
      <c r="C379" s="1093">
        <f>SUM(C372:C378)</f>
        <v>1156710742</v>
      </c>
      <c r="D379" s="1093">
        <f>SUM(D372:D378)</f>
        <v>0</v>
      </c>
      <c r="E379" s="1093">
        <f>SUM(E372:E378)</f>
        <v>1183348992</v>
      </c>
    </row>
    <row r="382" spans="1:6" ht="25.5" customHeight="1" x14ac:dyDescent="0.2">
      <c r="A382" s="1043"/>
      <c r="B382" s="1045" t="s">
        <v>938</v>
      </c>
      <c r="C382" s="1086"/>
      <c r="D382" s="1047"/>
      <c r="E382" s="1046"/>
    </row>
    <row r="383" spans="1:6" ht="25.5" x14ac:dyDescent="0.2">
      <c r="A383" s="1048" t="s">
        <v>859</v>
      </c>
      <c r="B383" s="2009" t="s">
        <v>939</v>
      </c>
      <c r="C383" s="2009"/>
      <c r="D383" s="2009"/>
      <c r="E383" s="2009"/>
    </row>
    <row r="384" spans="1:6" x14ac:dyDescent="0.2">
      <c r="A384" s="1049"/>
      <c r="B384" s="1087"/>
      <c r="C384" s="1052"/>
      <c r="D384" s="1052"/>
      <c r="E384" s="1051"/>
    </row>
    <row r="385" spans="1:5" x14ac:dyDescent="0.2">
      <c r="A385" s="1049"/>
      <c r="B385" s="1050"/>
      <c r="C385" s="1052"/>
      <c r="D385" s="1052"/>
      <c r="E385"/>
    </row>
    <row r="386" spans="1:5" x14ac:dyDescent="0.2">
      <c r="A386" s="1178" t="s">
        <v>861</v>
      </c>
      <c r="B386" s="1179" t="s">
        <v>864</v>
      </c>
      <c r="C386" s="1077" t="s">
        <v>914</v>
      </c>
      <c r="D386" s="1059" t="s">
        <v>83</v>
      </c>
      <c r="E386"/>
    </row>
    <row r="387" spans="1:5" x14ac:dyDescent="0.2">
      <c r="A387" s="1180" t="s">
        <v>865</v>
      </c>
      <c r="B387" s="1079">
        <v>85000000</v>
      </c>
      <c r="C387" s="1091"/>
      <c r="D387" s="1079">
        <f>SUM(B387:C387)</f>
        <v>85000000</v>
      </c>
      <c r="E387"/>
    </row>
    <row r="388" spans="1:5" x14ac:dyDescent="0.2">
      <c r="A388" s="1180" t="s">
        <v>866</v>
      </c>
      <c r="B388" s="1079"/>
      <c r="C388" s="1091"/>
      <c r="D388" s="1079">
        <f t="shared" ref="D388:D390" si="30">SUM(B388:C388)</f>
        <v>0</v>
      </c>
      <c r="E388"/>
    </row>
    <row r="389" spans="1:5" x14ac:dyDescent="0.2">
      <c r="A389" s="1180" t="s">
        <v>867</v>
      </c>
      <c r="B389" s="1079"/>
      <c r="C389" s="1091"/>
      <c r="D389" s="1079">
        <f t="shared" si="30"/>
        <v>0</v>
      </c>
      <c r="E389"/>
    </row>
    <row r="390" spans="1:5" ht="25.5" x14ac:dyDescent="0.2">
      <c r="A390" s="1095" t="s">
        <v>878</v>
      </c>
      <c r="B390" s="1079">
        <v>22950000</v>
      </c>
      <c r="C390" s="1091"/>
      <c r="D390" s="1079">
        <f t="shared" si="30"/>
        <v>22950000</v>
      </c>
      <c r="E390"/>
    </row>
    <row r="391" spans="1:5" x14ac:dyDescent="0.2">
      <c r="A391" s="1181" t="s">
        <v>83</v>
      </c>
      <c r="B391" s="1080">
        <f>SUM(B387:B390)</f>
        <v>107950000</v>
      </c>
      <c r="C391" s="1080">
        <f t="shared" ref="C391:D391" si="31">SUM(C387:C390)</f>
        <v>0</v>
      </c>
      <c r="D391" s="1080">
        <f t="shared" si="31"/>
        <v>107950000</v>
      </c>
      <c r="E391"/>
    </row>
    <row r="392" spans="1:5" x14ac:dyDescent="0.2">
      <c r="A392" s="1070"/>
      <c r="B392" s="1182"/>
      <c r="C392" s="1183"/>
      <c r="D392" s="1182"/>
      <c r="E392"/>
    </row>
    <row r="393" spans="1:5" x14ac:dyDescent="0.2">
      <c r="A393" s="1178" t="s">
        <v>868</v>
      </c>
      <c r="B393" s="1077" t="s">
        <v>916</v>
      </c>
      <c r="C393" s="1077" t="s">
        <v>914</v>
      </c>
      <c r="D393" s="1059" t="s">
        <v>83</v>
      </c>
      <c r="E393"/>
    </row>
    <row r="394" spans="1:5" x14ac:dyDescent="0.2">
      <c r="A394" s="1082" t="s">
        <v>879</v>
      </c>
      <c r="B394" s="1184"/>
      <c r="C394" s="1185"/>
      <c r="D394" s="1186"/>
      <c r="E394"/>
    </row>
    <row r="395" spans="1:5" ht="25.5" x14ac:dyDescent="0.2">
      <c r="A395" s="1060" t="s">
        <v>871</v>
      </c>
      <c r="B395" s="1061"/>
      <c r="C395" s="1078"/>
      <c r="D395" s="1079"/>
      <c r="E395"/>
    </row>
    <row r="396" spans="1:5" x14ac:dyDescent="0.2">
      <c r="A396" s="1060" t="s">
        <v>872</v>
      </c>
      <c r="B396" s="1061"/>
      <c r="C396" s="1078"/>
      <c r="D396" s="1079">
        <f>SUM(B396:C396)</f>
        <v>0</v>
      </c>
      <c r="E396"/>
    </row>
    <row r="397" spans="1:5" ht="25.5" x14ac:dyDescent="0.2">
      <c r="A397" s="1082" t="s">
        <v>878</v>
      </c>
      <c r="B397" s="1061"/>
      <c r="C397" s="1078"/>
      <c r="D397" s="1079">
        <f t="shared" ref="D397:D400" si="32">SUM(B397:C397)</f>
        <v>0</v>
      </c>
      <c r="E397"/>
    </row>
    <row r="398" spans="1:5" x14ac:dyDescent="0.2">
      <c r="A398" s="1060" t="s">
        <v>873</v>
      </c>
      <c r="B398" s="1061"/>
      <c r="C398" s="1078"/>
      <c r="D398" s="1079">
        <f t="shared" si="32"/>
        <v>0</v>
      </c>
      <c r="E398"/>
    </row>
    <row r="399" spans="1:5" x14ac:dyDescent="0.2">
      <c r="A399" s="1060" t="s">
        <v>874</v>
      </c>
      <c r="B399" s="1061">
        <v>85000000</v>
      </c>
      <c r="C399" s="1078"/>
      <c r="D399" s="1079">
        <f t="shared" si="32"/>
        <v>85000000</v>
      </c>
      <c r="E399" s="639">
        <f>SUM(B399:B400)</f>
        <v>107950000</v>
      </c>
    </row>
    <row r="400" spans="1:5" ht="25.5" x14ac:dyDescent="0.2">
      <c r="A400" s="1098" t="s">
        <v>878</v>
      </c>
      <c r="B400" s="1099">
        <v>22950000</v>
      </c>
      <c r="C400" s="1100"/>
      <c r="D400" s="1079">
        <f t="shared" si="32"/>
        <v>22950000</v>
      </c>
      <c r="E400"/>
    </row>
    <row r="401" spans="1:5" x14ac:dyDescent="0.2">
      <c r="A401" s="1092" t="s">
        <v>83</v>
      </c>
      <c r="B401" s="1093">
        <f>SUM(B394:B400)</f>
        <v>107950000</v>
      </c>
      <c r="C401" s="1093">
        <f t="shared" ref="C401:D401" si="33">SUM(C394:C400)</f>
        <v>0</v>
      </c>
      <c r="D401" s="1093">
        <f t="shared" si="33"/>
        <v>107950000</v>
      </c>
      <c r="E401"/>
    </row>
    <row r="402" spans="1:5" x14ac:dyDescent="0.2">
      <c r="E402"/>
    </row>
    <row r="405" spans="1:5" x14ac:dyDescent="0.2">
      <c r="A405" s="1043"/>
      <c r="B405" s="1045" t="s">
        <v>973</v>
      </c>
      <c r="C405" s="1086"/>
      <c r="D405" s="1047"/>
      <c r="E405" s="1046"/>
    </row>
    <row r="406" spans="1:5" ht="25.5" customHeight="1" x14ac:dyDescent="0.2">
      <c r="A406" s="1048" t="s">
        <v>859</v>
      </c>
      <c r="B406" s="2009" t="s">
        <v>974</v>
      </c>
      <c r="C406" s="2009"/>
      <c r="D406" s="2009"/>
      <c r="E406" s="1201"/>
    </row>
    <row r="407" spans="1:5" x14ac:dyDescent="0.2">
      <c r="A407" s="1049"/>
      <c r="B407" s="1087"/>
      <c r="C407" s="1052"/>
      <c r="D407" s="1052"/>
      <c r="E407" s="1051"/>
    </row>
    <row r="408" spans="1:5" x14ac:dyDescent="0.2">
      <c r="A408" s="1049"/>
      <c r="B408" s="1050"/>
      <c r="C408" s="1052"/>
      <c r="D408" s="1052"/>
      <c r="E408"/>
    </row>
    <row r="409" spans="1:5" ht="18" customHeight="1" x14ac:dyDescent="0.2">
      <c r="A409" s="1429" t="s">
        <v>861</v>
      </c>
      <c r="B409" s="1430" t="s">
        <v>863</v>
      </c>
      <c r="C409" s="1431" t="s">
        <v>916</v>
      </c>
      <c r="D409" s="1369" t="s">
        <v>83</v>
      </c>
      <c r="E409" s="1441"/>
    </row>
    <row r="410" spans="1:5" x14ac:dyDescent="0.2">
      <c r="A410" s="1421" t="s">
        <v>865</v>
      </c>
      <c r="B410" s="1422">
        <v>3564000</v>
      </c>
      <c r="C410" s="1423">
        <v>8661000</v>
      </c>
      <c r="D410" s="1422">
        <f>SUM(B410:C410)</f>
        <v>12225000</v>
      </c>
      <c r="E410" s="1441"/>
    </row>
    <row r="411" spans="1:5" x14ac:dyDescent="0.2">
      <c r="A411" s="1421" t="s">
        <v>866</v>
      </c>
      <c r="B411" s="1422"/>
      <c r="C411" s="1423"/>
      <c r="D411" s="1422">
        <f t="shared" ref="D411:D413" si="34">SUM(B411:C411)</f>
        <v>0</v>
      </c>
      <c r="E411" s="1441"/>
    </row>
    <row r="412" spans="1:5" x14ac:dyDescent="0.2">
      <c r="A412" s="1421" t="s">
        <v>867</v>
      </c>
      <c r="B412" s="1422"/>
      <c r="C412" s="1423"/>
      <c r="D412" s="1422">
        <f t="shared" si="34"/>
        <v>0</v>
      </c>
      <c r="E412" s="1441"/>
    </row>
    <row r="413" spans="1:5" ht="25.5" x14ac:dyDescent="0.2">
      <c r="A413" s="1424" t="s">
        <v>878</v>
      </c>
      <c r="B413" s="1422"/>
      <c r="C413" s="1423"/>
      <c r="D413" s="1422">
        <f t="shared" si="34"/>
        <v>0</v>
      </c>
      <c r="E413" s="1441"/>
    </row>
    <row r="414" spans="1:5" x14ac:dyDescent="0.2">
      <c r="A414" s="1425" t="s">
        <v>83</v>
      </c>
      <c r="B414" s="1426">
        <f>SUM(B410:B413)</f>
        <v>3564000</v>
      </c>
      <c r="C414" s="1426">
        <f t="shared" ref="C414:D414" si="35">SUM(C410:C413)</f>
        <v>8661000</v>
      </c>
      <c r="D414" s="1426">
        <f t="shared" si="35"/>
        <v>12225000</v>
      </c>
      <c r="E414" s="1441"/>
    </row>
    <row r="415" spans="1:5" x14ac:dyDescent="0.2">
      <c r="A415" s="1364"/>
      <c r="B415" s="1427"/>
      <c r="C415" s="1428"/>
      <c r="D415" s="1427"/>
      <c r="E415" s="1441"/>
    </row>
    <row r="416" spans="1:5" x14ac:dyDescent="0.2">
      <c r="A416" s="1429" t="s">
        <v>868</v>
      </c>
      <c r="B416" s="1430" t="s">
        <v>863</v>
      </c>
      <c r="C416" s="1431" t="s">
        <v>916</v>
      </c>
      <c r="D416" s="1369" t="s">
        <v>83</v>
      </c>
      <c r="E416" s="1441"/>
    </row>
    <row r="417" spans="1:5" x14ac:dyDescent="0.2">
      <c r="A417" s="1362" t="s">
        <v>879</v>
      </c>
      <c r="B417" s="1432"/>
      <c r="C417" s="1433"/>
      <c r="D417" s="1434"/>
      <c r="E417" s="1441"/>
    </row>
    <row r="418" spans="1:5" ht="25.5" x14ac:dyDescent="0.2">
      <c r="A418" s="1359" t="s">
        <v>871</v>
      </c>
      <c r="B418" s="1435"/>
      <c r="C418" s="1436"/>
      <c r="D418" s="1422"/>
      <c r="E418" s="1441"/>
    </row>
    <row r="419" spans="1:5" x14ac:dyDescent="0.2">
      <c r="A419" s="1359" t="s">
        <v>872</v>
      </c>
      <c r="B419" s="1435"/>
      <c r="C419" s="1436">
        <v>12225000</v>
      </c>
      <c r="D419" s="1422">
        <f>SUM(B419:C419)</f>
        <v>12225000</v>
      </c>
      <c r="E419" s="1441"/>
    </row>
    <row r="420" spans="1:5" ht="25.5" x14ac:dyDescent="0.2">
      <c r="A420" s="1362" t="s">
        <v>878</v>
      </c>
      <c r="B420" s="1435"/>
      <c r="C420" s="1436"/>
      <c r="D420" s="1422">
        <f t="shared" ref="D420:D423" si="36">SUM(B420:C420)</f>
        <v>0</v>
      </c>
      <c r="E420" s="1441"/>
    </row>
    <row r="421" spans="1:5" x14ac:dyDescent="0.2">
      <c r="A421" s="1359" t="s">
        <v>873</v>
      </c>
      <c r="B421" s="1435"/>
      <c r="C421" s="1436"/>
      <c r="D421" s="1422">
        <f t="shared" si="36"/>
        <v>0</v>
      </c>
      <c r="E421" s="1441"/>
    </row>
    <row r="422" spans="1:5" x14ac:dyDescent="0.2">
      <c r="A422" s="1359" t="s">
        <v>874</v>
      </c>
      <c r="B422" s="1435"/>
      <c r="C422" s="1436"/>
      <c r="D422" s="1422">
        <f t="shared" si="36"/>
        <v>0</v>
      </c>
      <c r="E422" s="1442">
        <f>SUM(B422:B423)</f>
        <v>0</v>
      </c>
    </row>
    <row r="423" spans="1:5" ht="25.5" x14ac:dyDescent="0.2">
      <c r="A423" s="1365" t="s">
        <v>878</v>
      </c>
      <c r="B423" s="1437"/>
      <c r="C423" s="1438"/>
      <c r="D423" s="1422">
        <f t="shared" si="36"/>
        <v>0</v>
      </c>
      <c r="E423" s="1441"/>
    </row>
    <row r="424" spans="1:5" x14ac:dyDescent="0.2">
      <c r="A424" s="1439" t="s">
        <v>83</v>
      </c>
      <c r="B424" s="1440">
        <f>SUM(B417:B423)</f>
        <v>0</v>
      </c>
      <c r="C424" s="1440">
        <f t="shared" ref="C424:D424" si="37">SUM(C417:C423)</f>
        <v>12225000</v>
      </c>
      <c r="D424" s="1440">
        <f t="shared" si="37"/>
        <v>12225000</v>
      </c>
      <c r="E424" s="1441"/>
    </row>
    <row r="425" spans="1:5" x14ac:dyDescent="0.2">
      <c r="A425"/>
      <c r="B425"/>
      <c r="C425"/>
      <c r="D425"/>
      <c r="E425"/>
    </row>
    <row r="426" spans="1:5" x14ac:dyDescent="0.2">
      <c r="A426"/>
      <c r="B426"/>
      <c r="C426"/>
      <c r="D426"/>
      <c r="E426"/>
    </row>
    <row r="427" spans="1:5" ht="25.5" customHeight="1" x14ac:dyDescent="0.2"/>
    <row r="428" spans="1:5" ht="25.5" customHeight="1" x14ac:dyDescent="0.2"/>
    <row r="430" spans="1:5" x14ac:dyDescent="0.2">
      <c r="A430" s="1043"/>
      <c r="B430" s="1045" t="s">
        <v>993</v>
      </c>
      <c r="C430" s="1086"/>
      <c r="D430" s="1047"/>
      <c r="E430" s="1046"/>
    </row>
    <row r="431" spans="1:5" ht="25.5" customHeight="1" x14ac:dyDescent="0.2">
      <c r="A431" s="1048" t="s">
        <v>859</v>
      </c>
      <c r="B431" s="2013" t="s">
        <v>994</v>
      </c>
      <c r="C431" s="2013"/>
      <c r="D431" s="2013"/>
      <c r="E431" s="2013"/>
    </row>
    <row r="432" spans="1:5" x14ac:dyDescent="0.2">
      <c r="A432" s="1049"/>
      <c r="B432" s="1087"/>
      <c r="C432" s="1052"/>
      <c r="D432" s="1052"/>
      <c r="E432" s="1051"/>
    </row>
    <row r="433" spans="1:5" x14ac:dyDescent="0.2">
      <c r="A433" s="1049"/>
      <c r="B433" s="1050"/>
      <c r="C433" s="1054"/>
      <c r="D433" s="1054"/>
      <c r="E433" s="1053"/>
    </row>
    <row r="434" spans="1:5" ht="25.5" customHeight="1" x14ac:dyDescent="0.2">
      <c r="A434" s="1361" t="s">
        <v>861</v>
      </c>
      <c r="B434" s="1366" t="s">
        <v>897</v>
      </c>
      <c r="C434" s="1367" t="s">
        <v>916</v>
      </c>
      <c r="D434" s="1368" t="s">
        <v>914</v>
      </c>
      <c r="E434" s="1369" t="s">
        <v>83</v>
      </c>
    </row>
    <row r="435" spans="1:5" ht="27.75" customHeight="1" x14ac:dyDescent="0.2">
      <c r="A435" s="1359" t="s">
        <v>865</v>
      </c>
      <c r="B435" s="1371"/>
      <c r="C435" s="1371">
        <f>6243326+252899674</f>
        <v>259143000</v>
      </c>
      <c r="D435" s="1372"/>
      <c r="E435" s="1373">
        <f>SUM(B435:D435)</f>
        <v>259143000</v>
      </c>
    </row>
    <row r="436" spans="1:5" x14ac:dyDescent="0.2">
      <c r="A436" s="1359" t="s">
        <v>866</v>
      </c>
      <c r="B436" s="1371"/>
      <c r="C436" s="1371"/>
      <c r="D436" s="1372"/>
      <c r="E436" s="1373">
        <f>SUM(B436:D436)</f>
        <v>0</v>
      </c>
    </row>
    <row r="437" spans="1:5" x14ac:dyDescent="0.2">
      <c r="A437" s="1359" t="s">
        <v>867</v>
      </c>
      <c r="B437" s="1371"/>
      <c r="C437" s="1371">
        <f>71000000+67111132</f>
        <v>138111132</v>
      </c>
      <c r="D437" s="1372"/>
      <c r="E437" s="1373">
        <f>SUM(B437:D437)</f>
        <v>138111132</v>
      </c>
    </row>
    <row r="438" spans="1:5" ht="25.5" x14ac:dyDescent="0.2">
      <c r="A438" s="1362" t="s">
        <v>878</v>
      </c>
      <c r="B438" s="1371"/>
      <c r="C438" s="1374">
        <f>C445+C448</f>
        <v>2563245</v>
      </c>
      <c r="D438" s="1372"/>
      <c r="E438" s="1373">
        <f>SUM(B438:D438)</f>
        <v>2563245</v>
      </c>
    </row>
    <row r="439" spans="1:5" x14ac:dyDescent="0.2">
      <c r="A439" s="1363" t="s">
        <v>83</v>
      </c>
      <c r="B439" s="1366">
        <f>SUM(B435:B438)</f>
        <v>0</v>
      </c>
      <c r="C439" s="1366">
        <f>SUM(C435:C438)</f>
        <v>399817377</v>
      </c>
      <c r="D439" s="1366">
        <f>SUM(D435:D438)</f>
        <v>0</v>
      </c>
      <c r="E439" s="1366">
        <f>SUM(E435:E438)</f>
        <v>399817377</v>
      </c>
    </row>
    <row r="440" spans="1:5" x14ac:dyDescent="0.2">
      <c r="A440" s="1364"/>
      <c r="B440" s="1375"/>
      <c r="C440" s="1376"/>
      <c r="D440" s="1377"/>
      <c r="E440" s="1378"/>
    </row>
    <row r="441" spans="1:5" ht="38.25" x14ac:dyDescent="0.2">
      <c r="A441" s="1361" t="s">
        <v>868</v>
      </c>
      <c r="B441" s="1370" t="s">
        <v>934</v>
      </c>
      <c r="C441" s="1367" t="s">
        <v>916</v>
      </c>
      <c r="D441" s="1368" t="s">
        <v>914</v>
      </c>
      <c r="E441" s="1369" t="s">
        <v>83</v>
      </c>
    </row>
    <row r="442" spans="1:5" x14ac:dyDescent="0.2">
      <c r="A442" s="1362" t="s">
        <v>879</v>
      </c>
      <c r="B442" s="1371"/>
      <c r="C442" s="1379">
        <v>425540</v>
      </c>
      <c r="D442" s="1380"/>
      <c r="E442" s="1373">
        <f t="shared" ref="E442:E448" si="38">SUM(B442:D442)</f>
        <v>425540</v>
      </c>
    </row>
    <row r="443" spans="1:5" ht="25.5" x14ac:dyDescent="0.2">
      <c r="A443" s="1359" t="s">
        <v>871</v>
      </c>
      <c r="B443" s="1371"/>
      <c r="C443" s="1379">
        <v>74286</v>
      </c>
      <c r="D443" s="1380"/>
      <c r="E443" s="1373">
        <f t="shared" si="38"/>
        <v>74286</v>
      </c>
    </row>
    <row r="444" spans="1:5" ht="20.25" customHeight="1" x14ac:dyDescent="0.2">
      <c r="A444" s="1359" t="s">
        <v>872</v>
      </c>
      <c r="B444" s="1371"/>
      <c r="C444" s="1379">
        <v>5743500</v>
      </c>
      <c r="D444" s="1380"/>
      <c r="E444" s="1373">
        <f t="shared" si="38"/>
        <v>5743500</v>
      </c>
    </row>
    <row r="445" spans="1:5" ht="25.5" x14ac:dyDescent="0.2">
      <c r="A445" s="1362" t="s">
        <v>878</v>
      </c>
      <c r="B445" s="1371"/>
      <c r="C445" s="1379">
        <v>1523745</v>
      </c>
      <c r="D445" s="1380"/>
      <c r="E445" s="1373">
        <f t="shared" si="38"/>
        <v>1523745</v>
      </c>
    </row>
    <row r="446" spans="1:5" x14ac:dyDescent="0.2">
      <c r="A446" s="1359" t="s">
        <v>873</v>
      </c>
      <c r="B446" s="1371"/>
      <c r="C446" s="1379"/>
      <c r="D446" s="1380"/>
      <c r="E446" s="1373">
        <f t="shared" si="38"/>
        <v>0</v>
      </c>
    </row>
    <row r="447" spans="1:5" ht="20.25" customHeight="1" x14ac:dyDescent="0.2">
      <c r="A447" s="1359" t="s">
        <v>874</v>
      </c>
      <c r="B447" s="1371"/>
      <c r="C447" s="1379">
        <f>252899674+71000000+67111132</f>
        <v>391010806</v>
      </c>
      <c r="D447" s="1380"/>
      <c r="E447" s="1373">
        <f t="shared" si="38"/>
        <v>391010806</v>
      </c>
    </row>
    <row r="448" spans="1:5" ht="25.5" x14ac:dyDescent="0.2">
      <c r="A448" s="1365" t="s">
        <v>878</v>
      </c>
      <c r="B448" s="1381"/>
      <c r="C448" s="1382">
        <v>1039500</v>
      </c>
      <c r="D448" s="1380"/>
      <c r="E448" s="1373">
        <f t="shared" si="38"/>
        <v>1039500</v>
      </c>
    </row>
    <row r="449" spans="1:5" x14ac:dyDescent="0.2">
      <c r="A449" s="1092" t="s">
        <v>83</v>
      </c>
      <c r="B449" s="1383">
        <f>SUM(B442:B448)</f>
        <v>0</v>
      </c>
      <c r="C449" s="1383">
        <f>SUM(C442:C448)</f>
        <v>399817377</v>
      </c>
      <c r="D449" s="1383">
        <f>SUM(D442:D448)</f>
        <v>0</v>
      </c>
      <c r="E449" s="1383">
        <f>SUM(E442:E448)</f>
        <v>399817377</v>
      </c>
    </row>
    <row r="450" spans="1:5" x14ac:dyDescent="0.2">
      <c r="A450" s="1360"/>
    </row>
    <row r="453" spans="1:5" ht="14.25" x14ac:dyDescent="0.2">
      <c r="A453" s="1043"/>
      <c r="B453" s="1420" t="s">
        <v>1018</v>
      </c>
      <c r="C453" s="1086"/>
      <c r="D453" s="1047"/>
    </row>
    <row r="454" spans="1:5" ht="25.5" x14ac:dyDescent="0.2">
      <c r="A454" s="1048" t="s">
        <v>859</v>
      </c>
      <c r="B454" s="2009" t="s">
        <v>1019</v>
      </c>
      <c r="C454" s="2009"/>
      <c r="D454" s="2009"/>
    </row>
    <row r="455" spans="1:5" x14ac:dyDescent="0.2">
      <c r="A455" s="1049"/>
      <c r="B455" s="1087"/>
      <c r="C455" s="1052"/>
      <c r="D455" s="1052"/>
    </row>
    <row r="456" spans="1:5" x14ac:dyDescent="0.2">
      <c r="A456" s="1049"/>
      <c r="B456" s="1050"/>
      <c r="C456" s="1052"/>
      <c r="D456" s="1052"/>
    </row>
    <row r="457" spans="1:5" ht="22.5" customHeight="1" x14ac:dyDescent="0.2">
      <c r="A457" s="1429" t="s">
        <v>861</v>
      </c>
      <c r="B457" s="1431" t="s">
        <v>916</v>
      </c>
      <c r="C457" s="1368" t="s">
        <v>914</v>
      </c>
      <c r="D457" s="1369" t="s">
        <v>83</v>
      </c>
      <c r="E457" s="1443"/>
    </row>
    <row r="458" spans="1:5" ht="22.5" customHeight="1" x14ac:dyDescent="0.2">
      <c r="A458" s="1421" t="s">
        <v>865</v>
      </c>
      <c r="B458" s="1423">
        <v>2361525</v>
      </c>
      <c r="C458" s="1423"/>
      <c r="D458" s="1422">
        <f>SUM(B458:C458)</f>
        <v>2361525</v>
      </c>
      <c r="E458" s="1443"/>
    </row>
    <row r="459" spans="1:5" x14ac:dyDescent="0.2">
      <c r="A459" s="1421" t="s">
        <v>866</v>
      </c>
      <c r="B459" s="1423"/>
      <c r="C459" s="1423"/>
      <c r="D459" s="1422">
        <f t="shared" ref="D459:D461" si="39">SUM(B459:C459)</f>
        <v>0</v>
      </c>
      <c r="E459" s="1443"/>
    </row>
    <row r="460" spans="1:5" x14ac:dyDescent="0.2">
      <c r="A460" s="1421" t="s">
        <v>867</v>
      </c>
      <c r="B460" s="1423">
        <v>637612</v>
      </c>
      <c r="C460" s="1423"/>
      <c r="D460" s="1422">
        <f t="shared" si="39"/>
        <v>637612</v>
      </c>
      <c r="E460" s="1443"/>
    </row>
    <row r="461" spans="1:5" ht="25.5" x14ac:dyDescent="0.2">
      <c r="A461" s="1424" t="s">
        <v>878</v>
      </c>
      <c r="B461" s="1423"/>
      <c r="C461" s="1423"/>
      <c r="D461" s="1422">
        <f t="shared" si="39"/>
        <v>0</v>
      </c>
      <c r="E461" s="1443"/>
    </row>
    <row r="462" spans="1:5" x14ac:dyDescent="0.2">
      <c r="A462" s="1425" t="s">
        <v>83</v>
      </c>
      <c r="B462" s="1426">
        <f t="shared" ref="B462" si="40">SUM(B458:B461)</f>
        <v>2999137</v>
      </c>
      <c r="C462" s="1426">
        <f t="shared" ref="C462:D462" si="41">SUM(C458:C461)</f>
        <v>0</v>
      </c>
      <c r="D462" s="1426">
        <f t="shared" si="41"/>
        <v>2999137</v>
      </c>
      <c r="E462" s="1443"/>
    </row>
    <row r="463" spans="1:5" x14ac:dyDescent="0.2">
      <c r="A463" s="1364"/>
      <c r="B463" s="1428"/>
      <c r="C463" s="1428"/>
      <c r="D463" s="1427"/>
      <c r="E463" s="1443"/>
    </row>
    <row r="464" spans="1:5" ht="33" customHeight="1" x14ac:dyDescent="0.2">
      <c r="A464" s="1429" t="s">
        <v>868</v>
      </c>
      <c r="B464" s="1431" t="s">
        <v>916</v>
      </c>
      <c r="C464" s="1368" t="s">
        <v>914</v>
      </c>
      <c r="D464" s="1369" t="s">
        <v>83</v>
      </c>
      <c r="E464" s="1443"/>
    </row>
    <row r="465" spans="1:5" x14ac:dyDescent="0.2">
      <c r="A465" s="1362" t="s">
        <v>879</v>
      </c>
      <c r="B465" s="1433"/>
      <c r="C465" s="1433"/>
      <c r="D465" s="1434"/>
      <c r="E465" s="1443"/>
    </row>
    <row r="466" spans="1:5" ht="25.5" x14ac:dyDescent="0.2">
      <c r="A466" s="1359" t="s">
        <v>871</v>
      </c>
      <c r="B466" s="1436"/>
      <c r="C466" s="1436"/>
      <c r="D466" s="1422"/>
      <c r="E466" s="1443"/>
    </row>
    <row r="467" spans="1:5" x14ac:dyDescent="0.2">
      <c r="A467" s="1359" t="s">
        <v>872</v>
      </c>
      <c r="B467" s="1436">
        <v>2999137</v>
      </c>
      <c r="C467" s="1436"/>
      <c r="D467" s="1422">
        <f>SUM(B467:C467)</f>
        <v>2999137</v>
      </c>
      <c r="E467" s="1443"/>
    </row>
    <row r="468" spans="1:5" ht="25.5" x14ac:dyDescent="0.2">
      <c r="A468" s="1362" t="s">
        <v>878</v>
      </c>
      <c r="B468" s="1436"/>
      <c r="C468" s="1436"/>
      <c r="D468" s="1422">
        <f t="shared" ref="D468:D471" si="42">SUM(B468:C468)</f>
        <v>0</v>
      </c>
      <c r="E468" s="1443"/>
    </row>
    <row r="469" spans="1:5" x14ac:dyDescent="0.2">
      <c r="A469" s="1359" t="s">
        <v>873</v>
      </c>
      <c r="B469" s="1436"/>
      <c r="C469" s="1436"/>
      <c r="D469" s="1422">
        <f t="shared" si="42"/>
        <v>0</v>
      </c>
      <c r="E469" s="1443"/>
    </row>
    <row r="470" spans="1:5" x14ac:dyDescent="0.2">
      <c r="A470" s="1359" t="s">
        <v>874</v>
      </c>
      <c r="B470" s="1436"/>
      <c r="C470" s="1436"/>
      <c r="D470" s="1422">
        <f t="shared" si="42"/>
        <v>0</v>
      </c>
      <c r="E470" s="1443"/>
    </row>
    <row r="471" spans="1:5" ht="25.5" x14ac:dyDescent="0.2">
      <c r="A471" s="1365" t="s">
        <v>878</v>
      </c>
      <c r="B471" s="1438"/>
      <c r="C471" s="1438"/>
      <c r="D471" s="1422">
        <f t="shared" si="42"/>
        <v>0</v>
      </c>
      <c r="E471" s="1443"/>
    </row>
    <row r="472" spans="1:5" x14ac:dyDescent="0.2">
      <c r="A472" s="1439" t="s">
        <v>83</v>
      </c>
      <c r="B472" s="1440">
        <f t="shared" ref="B472" si="43">SUM(B465:B471)</f>
        <v>2999137</v>
      </c>
      <c r="C472" s="1440">
        <f t="shared" ref="C472:D472" si="44">SUM(C465:C471)</f>
        <v>0</v>
      </c>
      <c r="D472" s="1440">
        <f t="shared" si="44"/>
        <v>2999137</v>
      </c>
      <c r="E472" s="1443"/>
    </row>
  </sheetData>
  <mergeCells count="24">
    <mergeCell ref="B406:D406"/>
    <mergeCell ref="B383:E383"/>
    <mergeCell ref="B343:E343"/>
    <mergeCell ref="B275:E276"/>
    <mergeCell ref="B297:E298"/>
    <mergeCell ref="B321:E321"/>
    <mergeCell ref="B341:E341"/>
    <mergeCell ref="B361:E361"/>
    <mergeCell ref="B182:E182"/>
    <mergeCell ref="B253:E253"/>
    <mergeCell ref="B454:D454"/>
    <mergeCell ref="B250:E250"/>
    <mergeCell ref="A1:E2"/>
    <mergeCell ref="B5:D5"/>
    <mergeCell ref="B25:D25"/>
    <mergeCell ref="B48:D48"/>
    <mergeCell ref="B68:D68"/>
    <mergeCell ref="B91:D91"/>
    <mergeCell ref="B114:D114"/>
    <mergeCell ref="B138:E138"/>
    <mergeCell ref="B158:E158"/>
    <mergeCell ref="B205:E205"/>
    <mergeCell ref="B228:E229"/>
    <mergeCell ref="B431:E431"/>
  </mergeCells>
  <pageMargins left="0" right="0" top="0.85416666666666663" bottom="0.74803149606299213" header="0.31496062992125984" footer="0.31496062992125984"/>
  <pageSetup paperSize="9" scale="87" orientation="portrait" r:id="rId1"/>
  <headerFooter>
    <oddHeader>&amp;C13. melléklet 
 az önkormányzat 2020. évi költségvetéséről szóló 6/2019. (III.06.) önkormányzati rendelethez
a 42/2020. (XII.21.) önkormányzati rendelet módosítással egységes szerkezetbe foglalva&amp;R&amp;P. oldal</oddHeader>
  </headerFooter>
  <rowBreaks count="9" manualBreakCount="9">
    <brk id="45" max="16383" man="1"/>
    <brk id="87" max="16383" man="1"/>
    <brk id="178" max="16383" man="1"/>
    <brk id="223" max="6" man="1"/>
    <brk id="273" max="6" man="1"/>
    <brk id="317" max="6" man="1"/>
    <brk id="359" max="6" man="1"/>
    <brk id="403" max="6" man="1"/>
    <brk id="452" max="6"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S29"/>
  <sheetViews>
    <sheetView view="pageLayout" topLeftCell="J1" zoomScaleNormal="100" zoomScaleSheetLayoutView="68" workbookViewId="0">
      <selection activeCell="R31" sqref="R31"/>
    </sheetView>
  </sheetViews>
  <sheetFormatPr defaultColWidth="9.140625" defaultRowHeight="12.75" x14ac:dyDescent="0.2"/>
  <cols>
    <col min="1" max="1" width="30.5703125" style="1532" customWidth="1"/>
    <col min="2" max="2" width="9.28515625" style="1532" customWidth="1"/>
    <col min="3" max="3" width="12.140625" style="1530" customWidth="1"/>
    <col min="4" max="4" width="15.28515625" style="1530" customWidth="1"/>
    <col min="5" max="5" width="14.7109375" style="1530" customWidth="1"/>
    <col min="6" max="7" width="14.42578125" style="1530" customWidth="1"/>
    <col min="8" max="8" width="13.7109375" style="1530" customWidth="1"/>
    <col min="9" max="16" width="12.7109375" style="1530" bestFit="1" customWidth="1"/>
    <col min="17" max="17" width="13.7109375" style="1530" customWidth="1"/>
    <col min="18" max="18" width="12.7109375" style="1530" bestFit="1" customWidth="1"/>
    <col min="19" max="16384" width="9.140625" style="1530"/>
  </cols>
  <sheetData>
    <row r="4" spans="1:19" ht="51.75" customHeight="1" x14ac:dyDescent="0.25">
      <c r="A4" s="2015" t="s">
        <v>1060</v>
      </c>
      <c r="B4" s="2015"/>
      <c r="C4" s="2015"/>
      <c r="D4" s="2015"/>
      <c r="E4" s="2015"/>
      <c r="F4" s="2015"/>
      <c r="G4" s="2015"/>
      <c r="H4" s="2015"/>
      <c r="I4" s="2015"/>
      <c r="J4" s="2015"/>
      <c r="K4" s="2015"/>
      <c r="L4" s="2015"/>
      <c r="M4" s="2015"/>
      <c r="N4" s="2015"/>
      <c r="O4" s="2015"/>
      <c r="P4" s="2015"/>
    </row>
    <row r="5" spans="1:19" ht="27.75" customHeight="1" x14ac:dyDescent="0.2">
      <c r="A5" s="1531"/>
      <c r="B5" s="1531"/>
      <c r="C5" s="1532"/>
      <c r="D5" s="1532"/>
      <c r="E5" s="1532"/>
      <c r="F5" s="1532"/>
      <c r="G5" s="1532"/>
    </row>
    <row r="6" spans="1:19" ht="13.5" thickBot="1" x14ac:dyDescent="0.25"/>
    <row r="7" spans="1:19" ht="25.5" customHeight="1" thickBot="1" x14ac:dyDescent="0.25">
      <c r="A7" s="1548" t="s">
        <v>1033</v>
      </c>
      <c r="B7" s="1612" t="s">
        <v>1094</v>
      </c>
      <c r="C7" s="1549"/>
      <c r="D7" s="1582" t="s">
        <v>864</v>
      </c>
      <c r="E7" s="1582" t="s">
        <v>914</v>
      </c>
      <c r="F7" s="1583" t="s">
        <v>1061</v>
      </c>
      <c r="G7" s="1582" t="s">
        <v>1062</v>
      </c>
      <c r="H7" s="1582" t="s">
        <v>1063</v>
      </c>
      <c r="I7" s="1582" t="s">
        <v>1064</v>
      </c>
      <c r="J7" s="1582" t="s">
        <v>1065</v>
      </c>
      <c r="K7" s="1582" t="s">
        <v>1066</v>
      </c>
      <c r="L7" s="1582" t="s">
        <v>1067</v>
      </c>
      <c r="M7" s="1582" t="s">
        <v>1068</v>
      </c>
      <c r="N7" s="1582" t="s">
        <v>1069</v>
      </c>
      <c r="O7" s="1582" t="s">
        <v>1070</v>
      </c>
      <c r="P7" s="1583" t="s">
        <v>1071</v>
      </c>
      <c r="Q7" s="1586" t="s">
        <v>121</v>
      </c>
    </row>
    <row r="8" spans="1:19" ht="25.5" customHeight="1" thickBot="1" x14ac:dyDescent="0.25">
      <c r="A8" s="1609" t="s">
        <v>1078</v>
      </c>
      <c r="B8" s="1611" t="s">
        <v>1079</v>
      </c>
      <c r="C8" s="1610" t="s">
        <v>1080</v>
      </c>
      <c r="D8" s="1607" t="s">
        <v>1081</v>
      </c>
      <c r="E8" s="1607" t="s">
        <v>1082</v>
      </c>
      <c r="F8" s="1608" t="s">
        <v>1083</v>
      </c>
      <c r="G8" s="1608" t="s">
        <v>1084</v>
      </c>
      <c r="H8" s="1608" t="s">
        <v>1085</v>
      </c>
      <c r="I8" s="1608" t="s">
        <v>1086</v>
      </c>
      <c r="J8" s="1608" t="s">
        <v>1087</v>
      </c>
      <c r="K8" s="1608" t="s">
        <v>1088</v>
      </c>
      <c r="L8" s="1608" t="s">
        <v>1089</v>
      </c>
      <c r="M8" s="1608" t="s">
        <v>1090</v>
      </c>
      <c r="N8" s="1608" t="s">
        <v>1091</v>
      </c>
      <c r="O8" s="1608" t="s">
        <v>1092</v>
      </c>
      <c r="P8" s="1608" t="s">
        <v>1093</v>
      </c>
      <c r="Q8" s="1586" t="s">
        <v>1110</v>
      </c>
    </row>
    <row r="9" spans="1:19" ht="25.5" x14ac:dyDescent="0.2">
      <c r="A9" s="1550" t="s">
        <v>1034</v>
      </c>
      <c r="B9" s="1613" t="s">
        <v>1095</v>
      </c>
      <c r="C9" s="1551"/>
      <c r="D9" s="1552">
        <f>'2.sz.tábla   (2)'!D31+'2.sz.tábla   (2)'!D36+'2.sz.tábla   (2)'!D39</f>
        <v>1604717610</v>
      </c>
      <c r="E9" s="1552">
        <v>1990000000</v>
      </c>
      <c r="F9" s="1552">
        <v>1990000000</v>
      </c>
      <c r="G9" s="1553">
        <v>1990000000</v>
      </c>
      <c r="H9" s="1553">
        <v>1990000000</v>
      </c>
      <c r="I9" s="1553">
        <v>1990000000</v>
      </c>
      <c r="J9" s="1553">
        <v>1990000000</v>
      </c>
      <c r="K9" s="1553">
        <v>1990000000</v>
      </c>
      <c r="L9" s="1553">
        <v>1990000000</v>
      </c>
      <c r="M9" s="1553">
        <v>1990000000</v>
      </c>
      <c r="N9" s="1553">
        <v>1990000000</v>
      </c>
      <c r="O9" s="1553">
        <v>1990000000</v>
      </c>
      <c r="P9" s="1553">
        <v>1990000000</v>
      </c>
      <c r="Q9" s="1585">
        <f>SUM(D9:P9)</f>
        <v>25484717610</v>
      </c>
      <c r="R9" s="1535"/>
      <c r="S9" s="1535"/>
    </row>
    <row r="10" spans="1:19" ht="25.5" x14ac:dyDescent="0.2">
      <c r="A10" s="1554" t="s">
        <v>1035</v>
      </c>
      <c r="B10" s="1615" t="s">
        <v>344</v>
      </c>
      <c r="C10" s="1555"/>
      <c r="D10" s="1556">
        <f>'2.sz.tábla   (2)'!D60</f>
        <v>269453434</v>
      </c>
      <c r="E10" s="1556"/>
      <c r="F10" s="1556"/>
      <c r="G10" s="1557"/>
      <c r="H10" s="1543"/>
      <c r="I10" s="1543"/>
      <c r="J10" s="1543"/>
      <c r="K10" s="1543"/>
      <c r="L10" s="1543"/>
      <c r="M10" s="1543"/>
      <c r="N10" s="1543"/>
      <c r="O10" s="1543"/>
      <c r="P10" s="1544"/>
      <c r="Q10" s="1580">
        <f t="shared" ref="Q10:Q16" si="0">SUM(D10:P10)</f>
        <v>269453434</v>
      </c>
    </row>
    <row r="11" spans="1:19" ht="25.5" x14ac:dyDescent="0.2">
      <c r="A11" s="1554" t="s">
        <v>1036</v>
      </c>
      <c r="B11" s="1615" t="s">
        <v>1096</v>
      </c>
      <c r="C11" s="1555"/>
      <c r="D11" s="1556">
        <f>'[7]2.sz.tábla   (2)'!D50</f>
        <v>16000000</v>
      </c>
      <c r="E11" s="1556">
        <v>16000000</v>
      </c>
      <c r="F11" s="1556">
        <v>16000000</v>
      </c>
      <c r="G11" s="1557">
        <v>16000000</v>
      </c>
      <c r="H11" s="1557">
        <v>16000000</v>
      </c>
      <c r="I11" s="1557">
        <v>16000000</v>
      </c>
      <c r="J11" s="1557">
        <v>16000000</v>
      </c>
      <c r="K11" s="1557">
        <v>16000000</v>
      </c>
      <c r="L11" s="1557">
        <v>16000000</v>
      </c>
      <c r="M11" s="1557">
        <v>16000000</v>
      </c>
      <c r="N11" s="1557">
        <v>16000000</v>
      </c>
      <c r="O11" s="1557">
        <v>16000000</v>
      </c>
      <c r="P11" s="1557">
        <v>16000000</v>
      </c>
      <c r="Q11" s="1580">
        <f t="shared" si="0"/>
        <v>208000000</v>
      </c>
    </row>
    <row r="12" spans="1:19" ht="51" x14ac:dyDescent="0.2">
      <c r="A12" s="1554" t="s">
        <v>1037</v>
      </c>
      <c r="B12" s="1615" t="s">
        <v>1097</v>
      </c>
      <c r="C12" s="1555"/>
      <c r="D12" s="1556">
        <f>'2.sz.tábla   (2)'!P61</f>
        <v>1070000</v>
      </c>
      <c r="E12" s="1556"/>
      <c r="F12" s="1556"/>
      <c r="G12" s="1557"/>
      <c r="H12" s="1543"/>
      <c r="I12" s="1543"/>
      <c r="J12" s="1543"/>
      <c r="K12" s="1543"/>
      <c r="L12" s="1543"/>
      <c r="M12" s="1543"/>
      <c r="N12" s="1543"/>
      <c r="O12" s="1543"/>
      <c r="P12" s="1544"/>
      <c r="Q12" s="1580">
        <f t="shared" si="0"/>
        <v>1070000</v>
      </c>
    </row>
    <row r="13" spans="1:19" x14ac:dyDescent="0.2">
      <c r="A13" s="1554" t="s">
        <v>1038</v>
      </c>
      <c r="B13" s="1615" t="s">
        <v>1098</v>
      </c>
      <c r="C13" s="1555"/>
      <c r="D13" s="1558">
        <f>'2.sz.tábla   (2)'!P42</f>
        <v>19400000</v>
      </c>
      <c r="E13" s="1558">
        <v>9400000</v>
      </c>
      <c r="F13" s="1558">
        <v>9400000</v>
      </c>
      <c r="G13" s="1558">
        <v>9400000</v>
      </c>
      <c r="H13" s="1558">
        <v>9400000</v>
      </c>
      <c r="I13" s="1558">
        <v>9400000</v>
      </c>
      <c r="J13" s="1558">
        <v>9400000</v>
      </c>
      <c r="K13" s="1558">
        <v>9400000</v>
      </c>
      <c r="L13" s="1558">
        <v>9400000</v>
      </c>
      <c r="M13" s="1558">
        <v>9400000</v>
      </c>
      <c r="N13" s="1558">
        <v>9400000</v>
      </c>
      <c r="O13" s="1558">
        <v>9400000</v>
      </c>
      <c r="P13" s="1558">
        <v>9400000</v>
      </c>
      <c r="Q13" s="1580">
        <f t="shared" si="0"/>
        <v>132200000</v>
      </c>
    </row>
    <row r="14" spans="1:19" ht="25.5" x14ac:dyDescent="0.2">
      <c r="A14" s="1554" t="s">
        <v>1039</v>
      </c>
      <c r="B14" s="1615" t="s">
        <v>1099</v>
      </c>
      <c r="C14" s="1555"/>
      <c r="D14" s="1559"/>
      <c r="E14" s="1556"/>
      <c r="F14" s="1556"/>
      <c r="G14" s="1557"/>
      <c r="H14" s="1543"/>
      <c r="I14" s="1543"/>
      <c r="J14" s="1543"/>
      <c r="K14" s="1543"/>
      <c r="L14" s="1543"/>
      <c r="M14" s="1543"/>
      <c r="N14" s="1543"/>
      <c r="O14" s="1543"/>
      <c r="P14" s="1544"/>
      <c r="Q14" s="1580">
        <f t="shared" si="0"/>
        <v>0</v>
      </c>
    </row>
    <row r="15" spans="1:19" x14ac:dyDescent="0.2">
      <c r="A15" s="1554" t="s">
        <v>121</v>
      </c>
      <c r="B15" s="1615" t="s">
        <v>1100</v>
      </c>
      <c r="C15" s="1555"/>
      <c r="D15" s="1556">
        <f>SUM(D9:D14)</f>
        <v>1910641044</v>
      </c>
      <c r="E15" s="1556">
        <f>SUM(E9:E14)</f>
        <v>2015400000</v>
      </c>
      <c r="F15" s="1556">
        <f>SUM(F9:F14)</f>
        <v>2015400000</v>
      </c>
      <c r="G15" s="1557">
        <f>SUM(G9:G14)</f>
        <v>2015400000</v>
      </c>
      <c r="H15" s="1557">
        <f t="shared" ref="H15:P15" si="1">SUM(H9:H14)</f>
        <v>2015400000</v>
      </c>
      <c r="I15" s="1557">
        <f t="shared" si="1"/>
        <v>2015400000</v>
      </c>
      <c r="J15" s="1557">
        <f t="shared" si="1"/>
        <v>2015400000</v>
      </c>
      <c r="K15" s="1557">
        <f t="shared" si="1"/>
        <v>2015400000</v>
      </c>
      <c r="L15" s="1557">
        <f t="shared" si="1"/>
        <v>2015400000</v>
      </c>
      <c r="M15" s="1557">
        <f t="shared" si="1"/>
        <v>2015400000</v>
      </c>
      <c r="N15" s="1557">
        <f t="shared" si="1"/>
        <v>2015400000</v>
      </c>
      <c r="O15" s="1557">
        <f t="shared" si="1"/>
        <v>2015400000</v>
      </c>
      <c r="P15" s="1557">
        <f t="shared" si="1"/>
        <v>2015400000</v>
      </c>
      <c r="Q15" s="1580">
        <f t="shared" si="0"/>
        <v>26095441044</v>
      </c>
    </row>
    <row r="16" spans="1:19" s="1533" customFormat="1" ht="26.25" thickBot="1" x14ac:dyDescent="0.25">
      <c r="A16" s="1560" t="s">
        <v>1040</v>
      </c>
      <c r="B16" s="1614" t="s">
        <v>1101</v>
      </c>
      <c r="C16" s="1561"/>
      <c r="D16" s="1562">
        <f>D15*0.5</f>
        <v>955320522</v>
      </c>
      <c r="E16" s="1562">
        <f>E15*0.5</f>
        <v>1007700000</v>
      </c>
      <c r="F16" s="1562">
        <f>F15*0.5</f>
        <v>1007700000</v>
      </c>
      <c r="G16" s="1563">
        <f>G15*0.5</f>
        <v>1007700000</v>
      </c>
      <c r="H16" s="1563">
        <f t="shared" ref="H16:P16" si="2">H15*0.5</f>
        <v>1007700000</v>
      </c>
      <c r="I16" s="1563">
        <f t="shared" si="2"/>
        <v>1007700000</v>
      </c>
      <c r="J16" s="1563">
        <f t="shared" si="2"/>
        <v>1007700000</v>
      </c>
      <c r="K16" s="1563">
        <f t="shared" si="2"/>
        <v>1007700000</v>
      </c>
      <c r="L16" s="1563">
        <f t="shared" si="2"/>
        <v>1007700000</v>
      </c>
      <c r="M16" s="1563">
        <f t="shared" si="2"/>
        <v>1007700000</v>
      </c>
      <c r="N16" s="1563">
        <f t="shared" si="2"/>
        <v>1007700000</v>
      </c>
      <c r="O16" s="1563">
        <f t="shared" si="2"/>
        <v>1007700000</v>
      </c>
      <c r="P16" s="1563">
        <f t="shared" si="2"/>
        <v>1007700000</v>
      </c>
      <c r="Q16" s="1581">
        <f t="shared" si="0"/>
        <v>13047720522</v>
      </c>
      <c r="R16" s="1530"/>
      <c r="S16" s="1530"/>
    </row>
    <row r="18" spans="1:19" x14ac:dyDescent="0.2">
      <c r="H18" s="1534"/>
    </row>
    <row r="19" spans="1:19" ht="13.5" thickBot="1" x14ac:dyDescent="0.25"/>
    <row r="20" spans="1:19" ht="51.75" thickBot="1" x14ac:dyDescent="0.25">
      <c r="A20" s="1564" t="s">
        <v>1041</v>
      </c>
      <c r="B20" s="1616" t="s">
        <v>1102</v>
      </c>
      <c r="C20" s="1565" t="s">
        <v>1072</v>
      </c>
      <c r="D20" s="1582" t="s">
        <v>864</v>
      </c>
      <c r="E20" s="1582" t="s">
        <v>914</v>
      </c>
      <c r="F20" s="1583" t="s">
        <v>1061</v>
      </c>
      <c r="G20" s="1582" t="s">
        <v>1062</v>
      </c>
      <c r="H20" s="1582" t="s">
        <v>1063</v>
      </c>
      <c r="I20" s="1582" t="s">
        <v>1064</v>
      </c>
      <c r="J20" s="1582" t="s">
        <v>1065</v>
      </c>
      <c r="K20" s="1582" t="s">
        <v>1066</v>
      </c>
      <c r="L20" s="1582" t="s">
        <v>1067</v>
      </c>
      <c r="M20" s="1582" t="s">
        <v>1068</v>
      </c>
      <c r="N20" s="1582" t="s">
        <v>1069</v>
      </c>
      <c r="O20" s="1582" t="s">
        <v>1070</v>
      </c>
      <c r="P20" s="1583" t="s">
        <v>1071</v>
      </c>
      <c r="Q20" s="1584" t="s">
        <v>121</v>
      </c>
    </row>
    <row r="21" spans="1:19" ht="25.5" x14ac:dyDescent="0.2">
      <c r="A21" s="1566" t="s">
        <v>1042</v>
      </c>
      <c r="B21" s="1617" t="s">
        <v>1103</v>
      </c>
      <c r="C21" s="1595" t="s">
        <v>1073</v>
      </c>
      <c r="D21" s="1552">
        <v>74242424</v>
      </c>
      <c r="E21" s="1552">
        <v>74242424</v>
      </c>
      <c r="F21" s="1552">
        <v>74242424</v>
      </c>
      <c r="G21" s="1553">
        <v>74242424</v>
      </c>
      <c r="H21" s="1553">
        <v>74242424</v>
      </c>
      <c r="I21" s="1553">
        <v>74242424</v>
      </c>
      <c r="J21" s="1553">
        <v>74242424</v>
      </c>
      <c r="K21" s="1547"/>
      <c r="L21" s="1547"/>
      <c r="M21" s="1547"/>
      <c r="N21" s="1547"/>
      <c r="O21" s="1547"/>
      <c r="P21" s="1587"/>
      <c r="Q21" s="1590">
        <f t="shared" ref="Q21:Q24" si="3">SUM(D21:P21)</f>
        <v>519696968</v>
      </c>
    </row>
    <row r="22" spans="1:19" ht="25.5" x14ac:dyDescent="0.2">
      <c r="A22" s="1567" t="s">
        <v>1043</v>
      </c>
      <c r="B22" s="1618" t="s">
        <v>1104</v>
      </c>
      <c r="C22" s="1594" t="s">
        <v>1073</v>
      </c>
      <c r="D22" s="1568">
        <v>12753405</v>
      </c>
      <c r="E22" s="1568">
        <v>10758758</v>
      </c>
      <c r="F22" s="1569">
        <v>8801645</v>
      </c>
      <c r="G22" s="1570">
        <v>6844533</v>
      </c>
      <c r="H22" s="1568">
        <v>4903506</v>
      </c>
      <c r="I22" s="1568">
        <v>2930307</v>
      </c>
      <c r="J22" s="1568">
        <v>973194</v>
      </c>
      <c r="K22" s="1592"/>
      <c r="L22" s="1543"/>
      <c r="M22" s="1543"/>
      <c r="N22" s="1543"/>
      <c r="O22" s="1543"/>
      <c r="P22" s="1544"/>
      <c r="Q22" s="1590">
        <f t="shared" si="3"/>
        <v>47965348</v>
      </c>
    </row>
    <row r="23" spans="1:19" s="1535" customFormat="1" ht="25.5" x14ac:dyDescent="0.2">
      <c r="A23" s="1572" t="s">
        <v>1044</v>
      </c>
      <c r="B23" s="1619" t="s">
        <v>1105</v>
      </c>
      <c r="C23" s="1596" t="s">
        <v>1074</v>
      </c>
      <c r="D23" s="1573">
        <v>10000000</v>
      </c>
      <c r="E23" s="1573">
        <v>8000000</v>
      </c>
      <c r="F23" s="1574">
        <v>8000000</v>
      </c>
      <c r="G23" s="1575">
        <v>8000000</v>
      </c>
      <c r="H23" s="1593">
        <v>8000000</v>
      </c>
      <c r="I23" s="1593">
        <v>8000000</v>
      </c>
      <c r="J23" s="1593">
        <v>8000000</v>
      </c>
      <c r="K23" s="1592">
        <v>2000000</v>
      </c>
      <c r="L23" s="1546"/>
      <c r="M23" s="1546"/>
      <c r="N23" s="1546"/>
      <c r="O23" s="1546"/>
      <c r="P23" s="1588"/>
      <c r="Q23" s="1590">
        <f t="shared" si="3"/>
        <v>60000000</v>
      </c>
      <c r="R23" s="1530"/>
      <c r="S23" s="1530"/>
    </row>
    <row r="24" spans="1:19" x14ac:dyDescent="0.2">
      <c r="A24" s="1567" t="s">
        <v>465</v>
      </c>
      <c r="B24" s="1618" t="s">
        <v>1106</v>
      </c>
      <c r="C24" s="1594" t="s">
        <v>1075</v>
      </c>
      <c r="D24" s="1545">
        <v>4584418</v>
      </c>
      <c r="E24" s="1545"/>
      <c r="F24" s="1571"/>
      <c r="G24" s="1571"/>
      <c r="H24" s="1545"/>
      <c r="I24" s="1543"/>
      <c r="J24" s="1543"/>
      <c r="K24" s="1543"/>
      <c r="L24" s="1543"/>
      <c r="M24" s="1543"/>
      <c r="N24" s="1543"/>
      <c r="O24" s="1543"/>
      <c r="P24" s="1544"/>
      <c r="Q24" s="1590">
        <f t="shared" si="3"/>
        <v>4584418</v>
      </c>
    </row>
    <row r="25" spans="1:19" s="1579" customFormat="1" ht="38.25" x14ac:dyDescent="0.2">
      <c r="A25" s="1576" t="s">
        <v>1059</v>
      </c>
      <c r="B25" s="1620" t="s">
        <v>1107</v>
      </c>
      <c r="C25" s="1577" t="s">
        <v>1076</v>
      </c>
      <c r="D25" s="1578">
        <v>4563200</v>
      </c>
      <c r="E25" s="1578">
        <v>77345533</v>
      </c>
      <c r="F25" s="1578">
        <v>75882333</v>
      </c>
      <c r="G25" s="1578">
        <v>74328200</v>
      </c>
      <c r="H25" s="1578">
        <v>72856733</v>
      </c>
      <c r="I25" s="1578">
        <v>71310867</v>
      </c>
      <c r="J25" s="1578">
        <v>69831133</v>
      </c>
      <c r="K25" s="1578">
        <v>68293533</v>
      </c>
      <c r="L25" s="1578">
        <v>66805533</v>
      </c>
      <c r="M25" s="1578">
        <v>65276200</v>
      </c>
      <c r="N25" s="1578">
        <v>63779933</v>
      </c>
      <c r="O25" s="1578">
        <v>62258867</v>
      </c>
      <c r="P25" s="1589">
        <v>60754333</v>
      </c>
      <c r="Q25" s="1591">
        <f>SUM(D25:P25)</f>
        <v>833286398</v>
      </c>
    </row>
    <row r="26" spans="1:19" ht="13.5" thickBot="1" x14ac:dyDescent="0.25">
      <c r="A26" s="1597" t="s">
        <v>1045</v>
      </c>
      <c r="B26" s="1621" t="s">
        <v>1108</v>
      </c>
      <c r="C26" s="1598"/>
      <c r="D26" s="1599">
        <f t="shared" ref="D26:P26" si="4">SUM(D21:D25)</f>
        <v>106143447</v>
      </c>
      <c r="E26" s="1599">
        <f t="shared" si="4"/>
        <v>170346715</v>
      </c>
      <c r="F26" s="1599">
        <f t="shared" si="4"/>
        <v>166926402</v>
      </c>
      <c r="G26" s="1599">
        <f t="shared" si="4"/>
        <v>163415157</v>
      </c>
      <c r="H26" s="1599">
        <f t="shared" si="4"/>
        <v>160002663</v>
      </c>
      <c r="I26" s="1599">
        <f t="shared" si="4"/>
        <v>156483598</v>
      </c>
      <c r="J26" s="1599">
        <f t="shared" si="4"/>
        <v>153046751</v>
      </c>
      <c r="K26" s="1599">
        <f t="shared" si="4"/>
        <v>70293533</v>
      </c>
      <c r="L26" s="1599">
        <f t="shared" si="4"/>
        <v>66805533</v>
      </c>
      <c r="M26" s="1599">
        <f t="shared" si="4"/>
        <v>65276200</v>
      </c>
      <c r="N26" s="1599">
        <f t="shared" si="4"/>
        <v>63779933</v>
      </c>
      <c r="O26" s="1599">
        <f t="shared" si="4"/>
        <v>62258867</v>
      </c>
      <c r="P26" s="1600">
        <f t="shared" si="4"/>
        <v>60754333</v>
      </c>
      <c r="Q26" s="1601">
        <f>SUM(D26:P26)</f>
        <v>1465533132</v>
      </c>
      <c r="R26" s="1534">
        <f>SUM(Q21:Q25)</f>
        <v>1465533132</v>
      </c>
    </row>
    <row r="27" spans="1:19" ht="39" thickBot="1" x14ac:dyDescent="0.25">
      <c r="A27" s="1602" t="s">
        <v>1077</v>
      </c>
      <c r="B27" s="1622" t="s">
        <v>1109</v>
      </c>
      <c r="C27" s="1603"/>
      <c r="D27" s="1604">
        <f>D26/D16*100</f>
        <v>11.110768015093472</v>
      </c>
      <c r="E27" s="1604">
        <f t="shared" ref="E27:Q27" si="5">E26/E16*100</f>
        <v>16.904506797658033</v>
      </c>
      <c r="F27" s="1604">
        <f t="shared" si="5"/>
        <v>16.565089014587674</v>
      </c>
      <c r="G27" s="1604">
        <f t="shared" si="5"/>
        <v>16.216647514141115</v>
      </c>
      <c r="H27" s="1604">
        <f t="shared" si="5"/>
        <v>15.878005656445371</v>
      </c>
      <c r="I27" s="1604">
        <f t="shared" si="5"/>
        <v>15.52878813138831</v>
      </c>
      <c r="J27" s="1604">
        <f t="shared" si="5"/>
        <v>15.18772958221693</v>
      </c>
      <c r="K27" s="1604">
        <f t="shared" si="5"/>
        <v>6.9756408653369055</v>
      </c>
      <c r="L27" s="1604">
        <f t="shared" si="5"/>
        <v>6.6295061030068476</v>
      </c>
      <c r="M27" s="1604">
        <f t="shared" si="5"/>
        <v>6.4777413912870898</v>
      </c>
      <c r="N27" s="1604">
        <f t="shared" si="5"/>
        <v>6.3292580132976086</v>
      </c>
      <c r="O27" s="1604">
        <f t="shared" si="5"/>
        <v>6.1783136846283613</v>
      </c>
      <c r="P27" s="1605">
        <f t="shared" si="5"/>
        <v>6.0290099235883696</v>
      </c>
      <c r="Q27" s="1606">
        <f t="shared" si="5"/>
        <v>11.232100883284078</v>
      </c>
    </row>
    <row r="29" spans="1:19" x14ac:dyDescent="0.2">
      <c r="L29" s="1534"/>
    </row>
  </sheetData>
  <sheetProtection selectLockedCells="1" selectUnlockedCells="1"/>
  <mergeCells count="1">
    <mergeCell ref="A4:P4"/>
  </mergeCells>
  <pageMargins left="0.75" right="0.75" top="1" bottom="1" header="0.5" footer="0.51180555555555551"/>
  <pageSetup paperSize="9" scale="70" firstPageNumber="0" orientation="portrait" r:id="rId1"/>
  <headerFooter scaleWithDoc="0" alignWithMargins="0">
    <oddHeader xml:space="preserve">&amp;C14. melléklet 
 az önkormányzat 2020. évi költségvetéséről szóló 6/2019. (III.06.) önkormányzati rendelethez
a 42/2020. (XII.21.) önkormányzati rendelet módosítással egységes szerkezetbe foglalva&amp;R
&amp;P. oldal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D26"/>
  <sheetViews>
    <sheetView view="pageLayout" topLeftCell="A16" zoomScaleNormal="100" workbookViewId="0">
      <selection activeCell="A8" sqref="A8"/>
    </sheetView>
  </sheetViews>
  <sheetFormatPr defaultColWidth="9.140625" defaultRowHeight="12.75" x14ac:dyDescent="0.2"/>
  <cols>
    <col min="1" max="1" width="65.85546875" style="1726" customWidth="1"/>
    <col min="2" max="2" width="15.42578125" style="1726" customWidth="1"/>
    <col min="3" max="3" width="10.5703125" style="1726" customWidth="1"/>
    <col min="4" max="4" width="12.7109375" style="1726" customWidth="1"/>
    <col min="5" max="16384" width="9.140625" style="1726"/>
  </cols>
  <sheetData>
    <row r="1" spans="1:2" ht="15" x14ac:dyDescent="0.2">
      <c r="A1" s="2016"/>
      <c r="B1" s="2016"/>
    </row>
    <row r="2" spans="1:2" ht="15" x14ac:dyDescent="0.2">
      <c r="A2" s="1727"/>
      <c r="B2" s="1728"/>
    </row>
    <row r="3" spans="1:2" ht="15.75" x14ac:dyDescent="0.25">
      <c r="A3" s="2017" t="s">
        <v>1199</v>
      </c>
      <c r="B3" s="2017"/>
    </row>
    <row r="4" spans="1:2" ht="15" x14ac:dyDescent="0.2">
      <c r="A4" s="1727"/>
      <c r="B4" s="1728"/>
    </row>
    <row r="5" spans="1:2" ht="15" x14ac:dyDescent="0.2">
      <c r="A5" s="1727"/>
      <c r="B5" s="1729"/>
    </row>
    <row r="6" spans="1:2" ht="15.75" x14ac:dyDescent="0.25">
      <c r="A6" s="1730" t="s">
        <v>86</v>
      </c>
      <c r="B6" s="1731" t="s">
        <v>1177</v>
      </c>
    </row>
    <row r="7" spans="1:2" ht="15" x14ac:dyDescent="0.2">
      <c r="A7" s="1736" t="s">
        <v>1200</v>
      </c>
      <c r="B7" s="1751">
        <v>36650000</v>
      </c>
    </row>
    <row r="8" spans="1:2" ht="15" x14ac:dyDescent="0.2">
      <c r="A8" s="1736" t="s">
        <v>1201</v>
      </c>
      <c r="B8" s="1752">
        <v>7600000</v>
      </c>
    </row>
    <row r="9" spans="1:2" ht="15" x14ac:dyDescent="0.2">
      <c r="A9" s="1736" t="s">
        <v>1202</v>
      </c>
      <c r="B9" s="1752">
        <v>5600000</v>
      </c>
    </row>
    <row r="10" spans="1:2" ht="15" x14ac:dyDescent="0.2">
      <c r="A10" s="1736" t="s">
        <v>1203</v>
      </c>
      <c r="B10" s="1752">
        <v>393701</v>
      </c>
    </row>
    <row r="11" spans="1:2" ht="15" x14ac:dyDescent="0.2">
      <c r="A11" s="1736" t="s">
        <v>1204</v>
      </c>
      <c r="B11" s="1752">
        <v>1574803</v>
      </c>
    </row>
    <row r="12" spans="1:2" ht="15" x14ac:dyDescent="0.2">
      <c r="A12" s="1736" t="s">
        <v>1205</v>
      </c>
      <c r="B12" s="1753">
        <v>4675643</v>
      </c>
    </row>
    <row r="13" spans="1:2" ht="15.75" x14ac:dyDescent="0.25">
      <c r="A13" s="1734" t="s">
        <v>1206</v>
      </c>
      <c r="B13" s="1754">
        <f>SUM(B7:B12)</f>
        <v>56494147</v>
      </c>
    </row>
    <row r="14" spans="1:2" ht="15.75" x14ac:dyDescent="0.25">
      <c r="A14" s="1734"/>
      <c r="B14" s="1754"/>
    </row>
    <row r="15" spans="1:2" ht="15" x14ac:dyDescent="0.2">
      <c r="A15" s="1736" t="s">
        <v>1207</v>
      </c>
      <c r="B15" s="1753">
        <v>24450000</v>
      </c>
    </row>
    <row r="16" spans="1:2" ht="15" x14ac:dyDescent="0.2">
      <c r="A16" s="1736" t="s">
        <v>1208</v>
      </c>
      <c r="B16" s="1753">
        <v>1000000</v>
      </c>
    </row>
    <row r="17" spans="1:4" ht="15" x14ac:dyDescent="0.2">
      <c r="A17" s="1736" t="s">
        <v>1209</v>
      </c>
      <c r="B17" s="1753">
        <v>5600000</v>
      </c>
    </row>
    <row r="18" spans="1:4" ht="15" x14ac:dyDescent="0.2">
      <c r="A18" s="1736" t="s">
        <v>1210</v>
      </c>
      <c r="B18" s="1753">
        <v>5600000</v>
      </c>
    </row>
    <row r="19" spans="1:4" ht="15" x14ac:dyDescent="0.2">
      <c r="A19" s="1736" t="s">
        <v>1211</v>
      </c>
      <c r="B19" s="1753">
        <v>7600000</v>
      </c>
    </row>
    <row r="20" spans="1:4" ht="15" x14ac:dyDescent="0.2">
      <c r="A20" s="1736" t="s">
        <v>1212</v>
      </c>
      <c r="B20" s="1753">
        <v>5600000</v>
      </c>
    </row>
    <row r="21" spans="1:4" ht="15" x14ac:dyDescent="0.2">
      <c r="A21" s="1736" t="s">
        <v>1213</v>
      </c>
      <c r="B21" s="1753">
        <v>393701</v>
      </c>
    </row>
    <row r="22" spans="1:4" ht="15" x14ac:dyDescent="0.2">
      <c r="A22" s="1736" t="s">
        <v>1214</v>
      </c>
      <c r="B22" s="1753">
        <v>1574803</v>
      </c>
    </row>
    <row r="23" spans="1:4" ht="15" x14ac:dyDescent="0.2">
      <c r="A23" s="1736" t="s">
        <v>1214</v>
      </c>
      <c r="B23" s="1753">
        <f>B12</f>
        <v>4675643</v>
      </c>
    </row>
    <row r="24" spans="1:4" ht="15.75" x14ac:dyDescent="0.25">
      <c r="A24" s="1734" t="s">
        <v>1215</v>
      </c>
      <c r="B24" s="1754">
        <f>SUM(B15:B23)</f>
        <v>56494147</v>
      </c>
      <c r="D24" s="1726">
        <f>24450+29000</f>
        <v>53450</v>
      </c>
    </row>
    <row r="25" spans="1:4" ht="15" x14ac:dyDescent="0.2">
      <c r="A25" s="1755"/>
      <c r="B25" s="1756"/>
    </row>
    <row r="26" spans="1:4" ht="15.75" x14ac:dyDescent="0.25">
      <c r="A26" s="1734" t="s">
        <v>1216</v>
      </c>
      <c r="B26" s="1757">
        <f>B13-B24</f>
        <v>0</v>
      </c>
    </row>
  </sheetData>
  <sheetProtection selectLockedCells="1" selectUnlockedCells="1"/>
  <mergeCells count="2">
    <mergeCell ref="A1:B1"/>
    <mergeCell ref="A3:B3"/>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&amp;C15. mellékelt
az önkormányzat 2020. évi költségvetéséről szóló 6/2020. (III.06.) önkormányzati rendeletéhez  &amp;R
&amp;P. oldal</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E30"/>
  <sheetViews>
    <sheetView view="pageLayout" zoomScaleNormal="100" workbookViewId="0">
      <selection activeCell="A6" sqref="A6:B6"/>
    </sheetView>
  </sheetViews>
  <sheetFormatPr defaultColWidth="9.140625" defaultRowHeight="12.75" x14ac:dyDescent="0.2"/>
  <cols>
    <col min="1" max="1" width="65.85546875" style="1726" customWidth="1"/>
    <col min="2" max="2" width="15.42578125" style="1726" customWidth="1"/>
    <col min="3" max="3" width="10.5703125" style="1726" customWidth="1"/>
    <col min="4" max="4" width="12.7109375" style="1726" customWidth="1"/>
    <col min="5" max="16384" width="9.140625" style="1726"/>
  </cols>
  <sheetData>
    <row r="4" spans="1:2" ht="15" x14ac:dyDescent="0.2">
      <c r="A4" s="2016"/>
      <c r="B4" s="2016"/>
    </row>
    <row r="5" spans="1:2" ht="15" x14ac:dyDescent="0.2">
      <c r="A5" s="1727"/>
      <c r="B5" s="1728"/>
    </row>
    <row r="6" spans="1:2" ht="15.75" x14ac:dyDescent="0.25">
      <c r="A6" s="2017" t="s">
        <v>1176</v>
      </c>
      <c r="B6" s="2017"/>
    </row>
    <row r="7" spans="1:2" ht="15" x14ac:dyDescent="0.2">
      <c r="A7" s="1727"/>
      <c r="B7" s="1728"/>
    </row>
    <row r="8" spans="1:2" ht="15" x14ac:dyDescent="0.2">
      <c r="A8" s="1727"/>
      <c r="B8" s="1729"/>
    </row>
    <row r="9" spans="1:2" ht="15.75" x14ac:dyDescent="0.25">
      <c r="A9" s="1730" t="s">
        <v>86</v>
      </c>
      <c r="B9" s="1731" t="s">
        <v>1177</v>
      </c>
    </row>
    <row r="10" spans="1:2" ht="15.75" x14ac:dyDescent="0.25">
      <c r="A10" s="1732" t="s">
        <v>1178</v>
      </c>
      <c r="B10" s="1733">
        <v>5300669</v>
      </c>
    </row>
    <row r="11" spans="1:2" ht="15.75" x14ac:dyDescent="0.25">
      <c r="A11" s="1734" t="s">
        <v>1179</v>
      </c>
      <c r="B11" s="1735"/>
    </row>
    <row r="12" spans="1:2" ht="15" x14ac:dyDescent="0.2">
      <c r="A12" s="1736" t="s">
        <v>1180</v>
      </c>
      <c r="B12" s="1735">
        <v>0</v>
      </c>
    </row>
    <row r="13" spans="1:2" ht="15" x14ac:dyDescent="0.2">
      <c r="A13" s="1736" t="s">
        <v>1181</v>
      </c>
      <c r="B13" s="1735">
        <v>860806</v>
      </c>
    </row>
    <row r="14" spans="1:2" ht="15" x14ac:dyDescent="0.2">
      <c r="A14" s="1736" t="s">
        <v>1182</v>
      </c>
      <c r="B14" s="1735">
        <v>0</v>
      </c>
    </row>
    <row r="15" spans="1:2" ht="15.75" x14ac:dyDescent="0.25">
      <c r="A15" s="1734" t="s">
        <v>1183</v>
      </c>
      <c r="B15" s="1735">
        <f>B10+B12+B13-B14</f>
        <v>6161475</v>
      </c>
    </row>
    <row r="16" spans="1:2" ht="15" x14ac:dyDescent="0.2">
      <c r="A16" s="1736" t="s">
        <v>1184</v>
      </c>
      <c r="B16" s="1735">
        <v>0</v>
      </c>
    </row>
    <row r="17" spans="1:5" ht="15" x14ac:dyDescent="0.2">
      <c r="A17" s="1736" t="s">
        <v>1185</v>
      </c>
      <c r="B17" s="1737">
        <f>707280</f>
        <v>707280</v>
      </c>
      <c r="C17" s="1738"/>
      <c r="D17" s="1739"/>
    </row>
    <row r="18" spans="1:5" ht="15.75" x14ac:dyDescent="0.25">
      <c r="A18" s="1740" t="s">
        <v>1186</v>
      </c>
      <c r="B18" s="1737">
        <f>B15-B16+B17</f>
        <v>6868755</v>
      </c>
      <c r="C18" s="1738"/>
      <c r="D18" s="1739"/>
    </row>
    <row r="19" spans="1:5" ht="15" x14ac:dyDescent="0.2">
      <c r="A19" s="1741" t="s">
        <v>1187</v>
      </c>
      <c r="B19" s="1742"/>
      <c r="C19" s="2018"/>
      <c r="D19" s="2018"/>
      <c r="E19" s="2018"/>
    </row>
    <row r="20" spans="1:5" ht="15" x14ac:dyDescent="0.2">
      <c r="A20" s="1741" t="s">
        <v>1188</v>
      </c>
      <c r="B20" s="1742">
        <v>743732</v>
      </c>
    </row>
    <row r="21" spans="1:5" ht="15.75" x14ac:dyDescent="0.25">
      <c r="A21" s="1740" t="s">
        <v>1189</v>
      </c>
      <c r="B21" s="1743">
        <f>B18-B19+B20</f>
        <v>7612487</v>
      </c>
      <c r="C21" s="1728"/>
      <c r="D21" s="1728"/>
    </row>
    <row r="22" spans="1:5" ht="15.75" x14ac:dyDescent="0.25">
      <c r="A22" s="1741" t="s">
        <v>1190</v>
      </c>
      <c r="B22" s="1744"/>
      <c r="C22" s="1728"/>
      <c r="D22" s="1728"/>
    </row>
    <row r="23" spans="1:5" ht="15" x14ac:dyDescent="0.2">
      <c r="A23" s="1745" t="s">
        <v>1191</v>
      </c>
      <c r="B23" s="1746">
        <v>926608</v>
      </c>
      <c r="C23" s="1728"/>
      <c r="D23" s="1728"/>
    </row>
    <row r="24" spans="1:5" ht="15.75" x14ac:dyDescent="0.25">
      <c r="A24" s="1747" t="s">
        <v>1192</v>
      </c>
      <c r="B24" s="1744">
        <f>B21+B23-B22</f>
        <v>8539095</v>
      </c>
      <c r="C24" s="1728"/>
      <c r="D24" s="1728"/>
    </row>
    <row r="25" spans="1:5" ht="30" x14ac:dyDescent="0.2">
      <c r="A25" s="1748" t="s">
        <v>1193</v>
      </c>
      <c r="B25" s="1749">
        <v>0</v>
      </c>
    </row>
    <row r="26" spans="1:5" ht="15" x14ac:dyDescent="0.2">
      <c r="A26" s="1745" t="s">
        <v>1194</v>
      </c>
      <c r="B26" s="1749">
        <v>940848</v>
      </c>
    </row>
    <row r="27" spans="1:5" ht="15.75" x14ac:dyDescent="0.25">
      <c r="A27" s="1747" t="s">
        <v>1195</v>
      </c>
      <c r="B27" s="1744">
        <f>B24+B26-B25</f>
        <v>9479943</v>
      </c>
    </row>
    <row r="28" spans="1:5" ht="30" x14ac:dyDescent="0.2">
      <c r="A28" s="1748" t="s">
        <v>1196</v>
      </c>
      <c r="B28" s="1749">
        <v>10379943</v>
      </c>
    </row>
    <row r="29" spans="1:5" ht="15" x14ac:dyDescent="0.2">
      <c r="A29" s="1745" t="s">
        <v>1197</v>
      </c>
      <c r="B29" s="1749">
        <v>900000</v>
      </c>
    </row>
    <row r="30" spans="1:5" ht="15.75" x14ac:dyDescent="0.25">
      <c r="A30" s="1747" t="s">
        <v>1198</v>
      </c>
      <c r="B30" s="1750">
        <f>B27+B29-B28</f>
        <v>0</v>
      </c>
    </row>
  </sheetData>
  <sheetProtection selectLockedCells="1" selectUnlockedCells="1"/>
  <mergeCells count="3">
    <mergeCell ref="A4:B4"/>
    <mergeCell ref="A6:B6"/>
    <mergeCell ref="C19:E19"/>
  </mergeCells>
  <pageMargins left="0.74791666666666667" right="0.74791666666666667" top="0.98402777777777772" bottom="0.98402777777777772" header="0.5" footer="0.51180555555555551"/>
  <pageSetup paperSize="9" scale="86" firstPageNumber="0" orientation="portrait" horizontalDpi="300" verticalDpi="300" r:id="rId1"/>
  <headerFooter alignWithMargins="0">
    <oddHeader>&amp;C16. mellékelt
az önkormányzat 2020. évi költségvetéséről szóló 6/2020. (III.06.) önkormányzati rendeletéhez  &amp;R
&amp;P. oldal</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R55"/>
  <sheetViews>
    <sheetView view="pageLayout" topLeftCell="E1" zoomScale="86" zoomScaleNormal="100" zoomScaleSheetLayoutView="89" zoomScalePageLayoutView="86" workbookViewId="0">
      <selection activeCell="O19" sqref="O19"/>
    </sheetView>
  </sheetViews>
  <sheetFormatPr defaultColWidth="9.140625" defaultRowHeight="12.75" x14ac:dyDescent="0.2"/>
  <cols>
    <col min="1" max="1" width="51" style="1040" customWidth="1"/>
    <col min="2" max="2" width="17.28515625" style="1041" bestFit="1" customWidth="1"/>
    <col min="3" max="5" width="16.7109375" style="1041" bestFit="1" customWidth="1"/>
    <col min="6" max="7" width="16.85546875" style="1041" bestFit="1" customWidth="1"/>
    <col min="8" max="9" width="16.7109375" style="1041" bestFit="1" customWidth="1"/>
    <col min="10" max="10" width="16.85546875" style="1041" bestFit="1" customWidth="1"/>
    <col min="11" max="11" width="17.140625" style="1041" customWidth="1"/>
    <col min="12" max="13" width="17.28515625" style="1041" bestFit="1" customWidth="1"/>
    <col min="14" max="14" width="18.5703125" style="1041" customWidth="1"/>
    <col min="15" max="15" width="17" style="94" customWidth="1"/>
    <col min="16" max="16" width="15.28515625" style="94" customWidth="1"/>
    <col min="17" max="17" width="13.5703125" style="94" bestFit="1" customWidth="1"/>
    <col min="18" max="16384" width="9.140625" style="987"/>
  </cols>
  <sheetData>
    <row r="1" spans="1:18" ht="15" x14ac:dyDescent="0.2">
      <c r="A1" s="985"/>
      <c r="B1" s="986"/>
      <c r="C1" s="986"/>
      <c r="D1" s="986"/>
      <c r="E1" s="986"/>
      <c r="F1" s="986"/>
      <c r="G1" s="986"/>
      <c r="H1" s="986"/>
      <c r="I1" s="986"/>
      <c r="J1" s="986"/>
      <c r="K1" s="986"/>
      <c r="L1" s="986"/>
      <c r="M1" s="986"/>
      <c r="N1" s="986"/>
    </row>
    <row r="2" spans="1:18" ht="15" x14ac:dyDescent="0.2">
      <c r="A2" s="988"/>
      <c r="B2" s="986"/>
      <c r="C2" s="986"/>
      <c r="D2" s="986"/>
      <c r="E2" s="986"/>
      <c r="F2" s="986"/>
      <c r="G2" s="986"/>
      <c r="H2" s="986"/>
      <c r="I2" s="986"/>
      <c r="J2" s="986"/>
      <c r="K2" s="986"/>
      <c r="L2" s="986"/>
      <c r="M2" s="2019"/>
      <c r="N2" s="2019"/>
    </row>
    <row r="3" spans="1:18" ht="15.75" customHeight="1" x14ac:dyDescent="0.25">
      <c r="A3" s="2020" t="s">
        <v>980</v>
      </c>
      <c r="B3" s="2020"/>
      <c r="C3" s="2020"/>
      <c r="D3" s="2020"/>
      <c r="E3" s="2020"/>
      <c r="F3" s="2020"/>
      <c r="G3" s="2020"/>
      <c r="H3" s="2020"/>
      <c r="I3" s="2020"/>
      <c r="J3" s="2020"/>
      <c r="K3" s="2020"/>
      <c r="L3" s="2020"/>
      <c r="M3" s="2020"/>
      <c r="N3" s="2020"/>
      <c r="O3" s="2020"/>
    </row>
    <row r="4" spans="1:18" ht="15" x14ac:dyDescent="0.2">
      <c r="A4" s="985"/>
      <c r="B4" s="986"/>
      <c r="C4" s="986"/>
      <c r="D4" s="986"/>
      <c r="E4" s="986"/>
      <c r="F4" s="986"/>
      <c r="G4" s="986"/>
      <c r="H4" s="986"/>
      <c r="I4" s="986"/>
      <c r="J4" s="986"/>
      <c r="K4" s="986"/>
      <c r="L4" s="986"/>
      <c r="M4" s="986"/>
      <c r="N4" s="989"/>
    </row>
    <row r="5" spans="1:18" ht="15" x14ac:dyDescent="0.2">
      <c r="A5" s="990" t="s">
        <v>86</v>
      </c>
      <c r="B5" s="990" t="s">
        <v>810</v>
      </c>
      <c r="C5" s="990" t="s">
        <v>811</v>
      </c>
      <c r="D5" s="990" t="s">
        <v>812</v>
      </c>
      <c r="E5" s="990" t="s">
        <v>813</v>
      </c>
      <c r="F5" s="990" t="s">
        <v>814</v>
      </c>
      <c r="G5" s="990" t="s">
        <v>815</v>
      </c>
      <c r="H5" s="990" t="s">
        <v>816</v>
      </c>
      <c r="I5" s="990" t="s">
        <v>817</v>
      </c>
      <c r="J5" s="990" t="s">
        <v>818</v>
      </c>
      <c r="K5" s="990" t="s">
        <v>819</v>
      </c>
      <c r="L5" s="990" t="s">
        <v>820</v>
      </c>
      <c r="M5" s="990" t="s">
        <v>821</v>
      </c>
      <c r="N5" s="990" t="s">
        <v>83</v>
      </c>
    </row>
    <row r="6" spans="1:18" ht="15.75" x14ac:dyDescent="0.25">
      <c r="A6" s="991" t="s">
        <v>822</v>
      </c>
      <c r="B6" s="992">
        <v>3387886587</v>
      </c>
      <c r="C6" s="992">
        <f t="shared" ref="C6:M6" si="0">B54</f>
        <v>4315561559</v>
      </c>
      <c r="D6" s="992">
        <f t="shared" si="0"/>
        <v>4030106573</v>
      </c>
      <c r="E6" s="992">
        <f t="shared" si="0"/>
        <v>3214604515</v>
      </c>
      <c r="F6" s="992">
        <f t="shared" si="0"/>
        <v>3145347405</v>
      </c>
      <c r="G6" s="992">
        <f t="shared" si="0"/>
        <v>2913037902</v>
      </c>
      <c r="H6" s="992">
        <f t="shared" si="0"/>
        <v>2912546326</v>
      </c>
      <c r="I6" s="992">
        <f t="shared" si="0"/>
        <v>2350302463</v>
      </c>
      <c r="J6" s="992">
        <f t="shared" si="0"/>
        <v>2872349458</v>
      </c>
      <c r="K6" s="992">
        <f t="shared" si="0"/>
        <v>2702947161</v>
      </c>
      <c r="L6" s="992">
        <f t="shared" si="0"/>
        <v>2273942745</v>
      </c>
      <c r="M6" s="992">
        <f t="shared" si="0"/>
        <v>2192096247</v>
      </c>
      <c r="N6" s="992">
        <f>Q6</f>
        <v>3387886587</v>
      </c>
      <c r="O6" s="993">
        <v>3322840565</v>
      </c>
      <c r="P6" s="994">
        <f>12730744+36399744+4830504+11085416-386</f>
        <v>65046022</v>
      </c>
      <c r="Q6" s="995">
        <f>SUM(O6:P6)</f>
        <v>3387886587</v>
      </c>
      <c r="R6" s="94"/>
    </row>
    <row r="7" spans="1:18" ht="15.75" x14ac:dyDescent="0.25">
      <c r="A7" s="996" t="s">
        <v>387</v>
      </c>
      <c r="B7" s="997"/>
      <c r="C7" s="997"/>
      <c r="D7" s="997"/>
      <c r="E7" s="997"/>
      <c r="F7" s="997"/>
      <c r="G7" s="997"/>
      <c r="H7" s="997"/>
      <c r="I7" s="997"/>
      <c r="J7" s="997"/>
      <c r="K7" s="997"/>
      <c r="L7" s="997"/>
      <c r="M7" s="997"/>
      <c r="N7" s="997"/>
    </row>
    <row r="8" spans="1:18" ht="15" x14ac:dyDescent="0.2">
      <c r="A8" s="998" t="s">
        <v>823</v>
      </c>
      <c r="B8" s="999">
        <v>163453866</v>
      </c>
      <c r="C8" s="999">
        <v>88869540</v>
      </c>
      <c r="D8" s="999">
        <v>107269633</v>
      </c>
      <c r="E8" s="999">
        <v>88663001</v>
      </c>
      <c r="F8" s="999">
        <v>60075504</v>
      </c>
      <c r="G8" s="999">
        <v>62308376</v>
      </c>
      <c r="H8" s="999">
        <v>62798744</v>
      </c>
      <c r="I8" s="999">
        <v>113709508</v>
      </c>
      <c r="J8" s="999">
        <v>59993014</v>
      </c>
      <c r="K8" s="999">
        <v>77373786</v>
      </c>
      <c r="L8" s="999">
        <v>281669839</v>
      </c>
      <c r="M8" s="999">
        <v>284154010</v>
      </c>
      <c r="N8" s="1000">
        <f t="shared" ref="N8:N16" si="1">SUM(B8:M8)</f>
        <v>1450338821</v>
      </c>
      <c r="O8" s="995">
        <f>'2.sz.tábla   (2)'!D7</f>
        <v>1450338821</v>
      </c>
      <c r="P8" s="995">
        <f>O8-N8</f>
        <v>0</v>
      </c>
    </row>
    <row r="9" spans="1:18" ht="15" x14ac:dyDescent="0.2">
      <c r="A9" s="1001" t="s">
        <v>824</v>
      </c>
      <c r="B9" s="1000">
        <v>15537000</v>
      </c>
      <c r="C9" s="1000">
        <v>30000000</v>
      </c>
      <c r="D9" s="1000">
        <v>500000000</v>
      </c>
      <c r="E9" s="1000">
        <v>70000000</v>
      </c>
      <c r="F9" s="1000">
        <v>70000000</v>
      </c>
      <c r="G9" s="1000">
        <v>25000000</v>
      </c>
      <c r="H9" s="1000">
        <v>20000000</v>
      </c>
      <c r="I9" s="1000">
        <v>50000000</v>
      </c>
      <c r="J9" s="1000">
        <v>610000000</v>
      </c>
      <c r="K9" s="1000">
        <v>22000000</v>
      </c>
      <c r="L9" s="1000">
        <v>62435000</v>
      </c>
      <c r="M9" s="1000">
        <v>152145610</v>
      </c>
      <c r="N9" s="1000">
        <f t="shared" si="1"/>
        <v>1627117610</v>
      </c>
      <c r="O9" s="995">
        <f>'2.sz.tábla   (2)'!D30</f>
        <v>1627117610</v>
      </c>
      <c r="P9" s="995">
        <f t="shared" ref="P9:P27" si="2">O9-N9</f>
        <v>0</v>
      </c>
    </row>
    <row r="10" spans="1:18" ht="15" x14ac:dyDescent="0.2">
      <c r="A10" s="1001" t="s">
        <v>777</v>
      </c>
      <c r="B10" s="1000">
        <v>14348619</v>
      </c>
      <c r="C10" s="1000">
        <v>26030491</v>
      </c>
      <c r="D10" s="1000">
        <v>24373946</v>
      </c>
      <c r="E10" s="1000">
        <v>15463664</v>
      </c>
      <c r="F10" s="1000">
        <v>39802549</v>
      </c>
      <c r="G10" s="1000">
        <v>20229558</v>
      </c>
      <c r="H10" s="1000">
        <v>93691166</v>
      </c>
      <c r="I10" s="1000">
        <v>155342976</v>
      </c>
      <c r="J10" s="1000">
        <v>63982196</v>
      </c>
      <c r="K10" s="1000">
        <v>22197076</v>
      </c>
      <c r="L10" s="1000">
        <v>15950576</v>
      </c>
      <c r="M10" s="1000">
        <v>323654522</v>
      </c>
      <c r="N10" s="1000">
        <f>SUM(B10:M10)</f>
        <v>815067339</v>
      </c>
      <c r="O10" s="995">
        <f>'2.sz.tábla   (2)'!D43</f>
        <v>815067339</v>
      </c>
      <c r="P10" s="995">
        <f t="shared" si="2"/>
        <v>0</v>
      </c>
    </row>
    <row r="11" spans="1:18" ht="15" x14ac:dyDescent="0.2">
      <c r="A11" s="1002" t="s">
        <v>825</v>
      </c>
      <c r="B11" s="1000">
        <v>0</v>
      </c>
      <c r="C11" s="1000">
        <v>0</v>
      </c>
      <c r="D11" s="1000">
        <v>0</v>
      </c>
      <c r="E11" s="1000">
        <v>500754</v>
      </c>
      <c r="F11" s="1000">
        <v>0</v>
      </c>
      <c r="G11" s="1000">
        <v>0</v>
      </c>
      <c r="H11" s="1000">
        <v>0</v>
      </c>
      <c r="I11" s="1000">
        <v>0</v>
      </c>
      <c r="J11" s="1000">
        <v>220000</v>
      </c>
      <c r="K11" s="1000">
        <v>15000000</v>
      </c>
      <c r="L11" s="1000">
        <v>0</v>
      </c>
      <c r="M11" s="1000">
        <v>4000000</v>
      </c>
      <c r="N11" s="1000">
        <f t="shared" si="1"/>
        <v>19720754</v>
      </c>
      <c r="O11" s="995">
        <f>'2.sz.tábla   (2)'!D66</f>
        <v>19720754</v>
      </c>
      <c r="P11" s="995">
        <f t="shared" si="2"/>
        <v>0</v>
      </c>
    </row>
    <row r="12" spans="1:18" ht="15" customHeight="1" x14ac:dyDescent="0.2">
      <c r="A12" s="1003" t="s">
        <v>826</v>
      </c>
      <c r="B12" s="1000"/>
      <c r="C12" s="1000"/>
      <c r="D12" s="1000"/>
      <c r="E12" s="1000"/>
      <c r="F12" s="1000"/>
      <c r="G12" s="1000"/>
      <c r="H12" s="1000"/>
      <c r="I12" s="1000"/>
      <c r="J12" s="1000"/>
      <c r="K12" s="1000"/>
      <c r="L12" s="1000"/>
      <c r="M12" s="1000"/>
      <c r="N12" s="1000">
        <f t="shared" si="1"/>
        <v>0</v>
      </c>
      <c r="P12" s="995">
        <f t="shared" si="2"/>
        <v>0</v>
      </c>
    </row>
    <row r="13" spans="1:18" s="1005" customFormat="1" ht="15" customHeight="1" x14ac:dyDescent="0.2">
      <c r="A13" s="998" t="s">
        <v>823</v>
      </c>
      <c r="B13" s="1000">
        <v>0</v>
      </c>
      <c r="C13" s="1000">
        <v>0</v>
      </c>
      <c r="D13" s="1004">
        <v>7519702</v>
      </c>
      <c r="E13" s="1004">
        <v>2506567</v>
      </c>
      <c r="F13" s="1004">
        <v>2506567</v>
      </c>
      <c r="G13" s="1004">
        <v>2506567</v>
      </c>
      <c r="H13" s="1004">
        <v>0</v>
      </c>
      <c r="I13" s="1004">
        <v>885020</v>
      </c>
      <c r="J13" s="1004">
        <v>1990554</v>
      </c>
      <c r="K13" s="1004">
        <v>1990552</v>
      </c>
      <c r="L13" s="1004">
        <v>1990552</v>
      </c>
      <c r="M13" s="1004">
        <v>1990554</v>
      </c>
      <c r="N13" s="1000">
        <f t="shared" si="1"/>
        <v>23886635</v>
      </c>
      <c r="O13" s="995">
        <f>'2.sz.tábla   (2)'!H7</f>
        <v>23886635</v>
      </c>
      <c r="P13" s="995">
        <f t="shared" si="2"/>
        <v>0</v>
      </c>
      <c r="Q13" s="94"/>
    </row>
    <row r="14" spans="1:18" ht="15" customHeight="1" x14ac:dyDescent="0.2">
      <c r="A14" s="1001" t="s">
        <v>824</v>
      </c>
      <c r="B14" s="1000"/>
      <c r="C14" s="1000"/>
      <c r="D14" s="1000"/>
      <c r="E14" s="1000"/>
      <c r="F14" s="1000"/>
      <c r="G14" s="1000"/>
      <c r="H14" s="1000"/>
      <c r="I14" s="1000"/>
      <c r="J14" s="1000"/>
      <c r="K14" s="1000"/>
      <c r="L14" s="1000"/>
      <c r="M14" s="1000"/>
      <c r="N14" s="1000">
        <f t="shared" si="1"/>
        <v>0</v>
      </c>
      <c r="O14" s="995">
        <f>'2.sz.tábla   (2)'!H42</f>
        <v>0</v>
      </c>
      <c r="P14" s="995">
        <f t="shared" si="2"/>
        <v>0</v>
      </c>
    </row>
    <row r="15" spans="1:18" ht="15" customHeight="1" x14ac:dyDescent="0.2">
      <c r="A15" s="1001" t="s">
        <v>777</v>
      </c>
      <c r="B15" s="1000">
        <v>1807515</v>
      </c>
      <c r="C15" s="1000">
        <v>2780640</v>
      </c>
      <c r="D15" s="1000">
        <v>3134640</v>
      </c>
      <c r="E15" s="1000">
        <v>2852015</v>
      </c>
      <c r="F15" s="1000">
        <v>4676015</v>
      </c>
      <c r="G15" s="1000">
        <v>3405380</v>
      </c>
      <c r="H15" s="1000">
        <v>2471015</v>
      </c>
      <c r="I15" s="1000">
        <v>2770380</v>
      </c>
      <c r="J15" s="1000">
        <v>2706015</v>
      </c>
      <c r="K15" s="1000">
        <v>2704745</v>
      </c>
      <c r="L15" s="1000">
        <v>1970380</v>
      </c>
      <c r="M15" s="1000">
        <v>1931010</v>
      </c>
      <c r="N15" s="1000">
        <f t="shared" si="1"/>
        <v>33209750</v>
      </c>
      <c r="O15" s="995">
        <f>'2.sz.tábla   (2)'!H43</f>
        <v>33209750</v>
      </c>
      <c r="P15" s="995">
        <f t="shared" si="2"/>
        <v>0</v>
      </c>
    </row>
    <row r="16" spans="1:18" ht="18.75" x14ac:dyDescent="0.3">
      <c r="A16" s="1006" t="s">
        <v>389</v>
      </c>
      <c r="B16" s="1000"/>
      <c r="C16" s="1000"/>
      <c r="D16" s="1000"/>
      <c r="E16" s="1000"/>
      <c r="F16" s="1000"/>
      <c r="G16" s="1000"/>
      <c r="H16" s="1000"/>
      <c r="I16" s="1000"/>
      <c r="J16" s="1000"/>
      <c r="K16" s="1000"/>
      <c r="L16" s="1000"/>
      <c r="M16" s="1000"/>
      <c r="N16" s="1000">
        <f t="shared" si="1"/>
        <v>0</v>
      </c>
      <c r="P16" s="995">
        <f t="shared" si="2"/>
        <v>0</v>
      </c>
    </row>
    <row r="17" spans="1:17" s="1011" customFormat="1" ht="15" x14ac:dyDescent="0.2">
      <c r="A17" s="1007" t="s">
        <v>823</v>
      </c>
      <c r="B17" s="1008">
        <v>11331207</v>
      </c>
      <c r="C17" s="1008">
        <v>11669592</v>
      </c>
      <c r="D17" s="1008">
        <v>21669592</v>
      </c>
      <c r="E17" s="1008">
        <v>11669592</v>
      </c>
      <c r="F17" s="1008">
        <v>11669592</v>
      </c>
      <c r="G17" s="1008">
        <v>11669592</v>
      </c>
      <c r="H17" s="1008">
        <v>29649541</v>
      </c>
      <c r="I17" s="1008">
        <v>11669592</v>
      </c>
      <c r="J17" s="1008">
        <v>11669592</v>
      </c>
      <c r="K17" s="1008">
        <v>11669592</v>
      </c>
      <c r="L17" s="1008">
        <v>11669592</v>
      </c>
      <c r="M17" s="1008">
        <v>13769606</v>
      </c>
      <c r="N17" s="1008">
        <f>SUM(B17:M17)</f>
        <v>169776682</v>
      </c>
      <c r="O17" s="1009">
        <f>'2.sz.tábla   (2)'!L7</f>
        <v>169776682</v>
      </c>
      <c r="P17" s="995">
        <f t="shared" si="2"/>
        <v>0</v>
      </c>
      <c r="Q17" s="1010"/>
    </row>
    <row r="18" spans="1:17" s="1011" customFormat="1" ht="15" x14ac:dyDescent="0.2">
      <c r="A18" s="1012" t="s">
        <v>777</v>
      </c>
      <c r="B18" s="1008">
        <v>10517299</v>
      </c>
      <c r="C18" s="1008">
        <v>614799</v>
      </c>
      <c r="D18" s="1008">
        <v>515799</v>
      </c>
      <c r="E18" s="1008">
        <v>11418299</v>
      </c>
      <c r="F18" s="1008">
        <v>465799</v>
      </c>
      <c r="G18" s="1008">
        <v>780799</v>
      </c>
      <c r="H18" s="1008">
        <v>11418299</v>
      </c>
      <c r="I18" s="1008">
        <v>766799</v>
      </c>
      <c r="J18" s="1008">
        <v>480799</v>
      </c>
      <c r="K18" s="1008">
        <v>11432299</v>
      </c>
      <c r="L18" s="1008">
        <v>465799</v>
      </c>
      <c r="M18" s="1008">
        <v>516804</v>
      </c>
      <c r="N18" s="1008">
        <f>SUM(B18:M18)</f>
        <v>49393593</v>
      </c>
      <c r="O18" s="1009">
        <f>'2.sz.tábla   (2)'!L43</f>
        <v>49393593</v>
      </c>
      <c r="P18" s="995">
        <f t="shared" si="2"/>
        <v>0</v>
      </c>
      <c r="Q18" s="1010"/>
    </row>
    <row r="19" spans="1:17" s="1011" customFormat="1" ht="15" x14ac:dyDescent="0.2">
      <c r="A19" s="1012" t="s">
        <v>827</v>
      </c>
      <c r="B19" s="1008"/>
      <c r="C19" s="1008"/>
      <c r="D19" s="1008"/>
      <c r="E19" s="1008"/>
      <c r="F19" s="1008"/>
      <c r="G19" s="1008"/>
      <c r="H19" s="1008"/>
      <c r="I19" s="1008"/>
      <c r="J19" s="1008"/>
      <c r="K19" s="1008"/>
      <c r="L19" s="1008"/>
      <c r="M19" s="1008"/>
      <c r="N19" s="1008">
        <f>SUM(B19:M19)</f>
        <v>0</v>
      </c>
      <c r="O19" s="1009">
        <f>'2.sz.tábla   (2)'!L66</f>
        <v>0</v>
      </c>
      <c r="P19" s="995">
        <f t="shared" si="2"/>
        <v>0</v>
      </c>
      <c r="Q19" s="1010"/>
    </row>
    <row r="20" spans="1:17" ht="15" x14ac:dyDescent="0.2">
      <c r="A20" s="1003" t="s">
        <v>828</v>
      </c>
      <c r="B20" s="1013">
        <f>SUM(B8:B19)</f>
        <v>216995506</v>
      </c>
      <c r="C20" s="1013">
        <f t="shared" ref="C20:N20" si="3">SUM(C8:C19)</f>
        <v>159965062</v>
      </c>
      <c r="D20" s="1013">
        <f t="shared" si="3"/>
        <v>664483312</v>
      </c>
      <c r="E20" s="1013">
        <f t="shared" si="3"/>
        <v>203073892</v>
      </c>
      <c r="F20" s="1013">
        <f t="shared" si="3"/>
        <v>189196026</v>
      </c>
      <c r="G20" s="1013">
        <f t="shared" si="3"/>
        <v>125900272</v>
      </c>
      <c r="H20" s="1013">
        <f t="shared" si="3"/>
        <v>220028765</v>
      </c>
      <c r="I20" s="1013">
        <f t="shared" si="3"/>
        <v>335144275</v>
      </c>
      <c r="J20" s="1013">
        <f t="shared" si="3"/>
        <v>751042170</v>
      </c>
      <c r="K20" s="1013">
        <f t="shared" si="3"/>
        <v>164368050</v>
      </c>
      <c r="L20" s="1013">
        <f t="shared" si="3"/>
        <v>376151738</v>
      </c>
      <c r="M20" s="1013">
        <f>SUM(M8:M19)</f>
        <v>782162116</v>
      </c>
      <c r="N20" s="1013">
        <f t="shared" si="3"/>
        <v>4188511184</v>
      </c>
      <c r="O20" s="995">
        <f>SUM(O8:O19)</f>
        <v>4188511184</v>
      </c>
      <c r="P20" s="995">
        <f t="shared" si="2"/>
        <v>0</v>
      </c>
    </row>
    <row r="21" spans="1:17" s="1011" customFormat="1" ht="15" x14ac:dyDescent="0.2">
      <c r="A21" s="1007" t="s">
        <v>829</v>
      </c>
      <c r="B21" s="1008">
        <v>1076105492</v>
      </c>
      <c r="C21" s="1008">
        <v>85000000</v>
      </c>
      <c r="D21" s="1008">
        <v>85000000</v>
      </c>
      <c r="E21" s="1008">
        <v>0</v>
      </c>
      <c r="F21" s="1008">
        <v>0</v>
      </c>
      <c r="G21" s="1008">
        <v>14999755</v>
      </c>
      <c r="H21" s="1008">
        <v>64785750</v>
      </c>
      <c r="I21" s="1008">
        <v>596250000</v>
      </c>
      <c r="J21" s="1008">
        <v>250781370</v>
      </c>
      <c r="K21" s="1008">
        <v>0</v>
      </c>
      <c r="L21" s="1008">
        <v>0</v>
      </c>
      <c r="M21" s="1008">
        <v>4110208951</v>
      </c>
      <c r="N21" s="1008">
        <f>SUM(B21:M21)</f>
        <v>6283131318</v>
      </c>
      <c r="O21" s="1009">
        <f>'2.sz.tábla   (2)'!D22</f>
        <v>6283131318</v>
      </c>
      <c r="P21" s="995">
        <f t="shared" si="2"/>
        <v>0</v>
      </c>
      <c r="Q21" s="1010"/>
    </row>
    <row r="22" spans="1:17" s="1011" customFormat="1" ht="15" x14ac:dyDescent="0.2">
      <c r="A22" s="1012" t="s">
        <v>830</v>
      </c>
      <c r="B22" s="1008">
        <v>0</v>
      </c>
      <c r="C22" s="1008">
        <v>10000000</v>
      </c>
      <c r="D22" s="1008">
        <v>0</v>
      </c>
      <c r="E22" s="1008">
        <v>32917323</v>
      </c>
      <c r="F22" s="1008">
        <v>10000000</v>
      </c>
      <c r="G22" s="1008">
        <v>0</v>
      </c>
      <c r="H22" s="1008">
        <v>0</v>
      </c>
      <c r="I22" s="1008">
        <v>0</v>
      </c>
      <c r="J22" s="1008">
        <v>0</v>
      </c>
      <c r="K22" s="1008">
        <v>0</v>
      </c>
      <c r="L22" s="1008">
        <v>5950000</v>
      </c>
      <c r="M22" s="1008">
        <v>210586111</v>
      </c>
      <c r="N22" s="1008">
        <f>SUM(B22:M22)</f>
        <v>269453434</v>
      </c>
      <c r="O22" s="1009">
        <f>'2.sz.tábla   (2)'!D58</f>
        <v>269453434</v>
      </c>
      <c r="P22" s="995">
        <f t="shared" si="2"/>
        <v>0</v>
      </c>
      <c r="Q22" s="1010"/>
    </row>
    <row r="23" spans="1:17" s="1011" customFormat="1" ht="15" x14ac:dyDescent="0.2">
      <c r="A23" s="1012" t="s">
        <v>831</v>
      </c>
      <c r="B23" s="1008">
        <v>1910903</v>
      </c>
      <c r="C23" s="1008">
        <v>1636479</v>
      </c>
      <c r="D23" s="1008">
        <v>1636479</v>
      </c>
      <c r="E23" s="1008">
        <v>83840903</v>
      </c>
      <c r="F23" s="1008">
        <v>1636479</v>
      </c>
      <c r="G23" s="1008">
        <v>1636479</v>
      </c>
      <c r="H23" s="1008">
        <v>1910903</v>
      </c>
      <c r="I23" s="1008">
        <v>1636479</v>
      </c>
      <c r="J23" s="1008">
        <v>1101229</v>
      </c>
      <c r="K23" s="1008">
        <v>1375654</v>
      </c>
      <c r="L23" s="1008">
        <v>1101229</v>
      </c>
      <c r="M23" s="1008">
        <v>123577326</v>
      </c>
      <c r="N23" s="1008">
        <f>SUM(B23:M23)</f>
        <v>223000542</v>
      </c>
      <c r="O23" s="1009">
        <f>'2.sz.tábla   (2)'!D70</f>
        <v>223000542</v>
      </c>
      <c r="P23" s="995">
        <f t="shared" si="2"/>
        <v>0</v>
      </c>
      <c r="Q23" s="1010"/>
    </row>
    <row r="24" spans="1:17" s="1015" customFormat="1" ht="15" x14ac:dyDescent="0.2">
      <c r="A24" s="1003" t="s">
        <v>832</v>
      </c>
      <c r="B24" s="1013"/>
      <c r="C24" s="1013"/>
      <c r="D24" s="1013"/>
      <c r="E24" s="1013">
        <v>1070000</v>
      </c>
      <c r="F24" s="1013"/>
      <c r="G24" s="1013"/>
      <c r="H24" s="1013"/>
      <c r="I24" s="1013"/>
      <c r="J24" s="1013"/>
      <c r="K24" s="1013"/>
      <c r="L24" s="1013"/>
      <c r="M24" s="1013"/>
      <c r="N24" s="1013">
        <f>SUM(B24:M24)</f>
        <v>1070000</v>
      </c>
      <c r="O24" s="1014">
        <f>'2.sz.tábla   (2)'!H58</f>
        <v>1070000</v>
      </c>
      <c r="P24" s="995">
        <f t="shared" si="2"/>
        <v>0</v>
      </c>
    </row>
    <row r="25" spans="1:17" s="1019" customFormat="1" ht="15" x14ac:dyDescent="0.2">
      <c r="A25" s="1016" t="s">
        <v>833</v>
      </c>
      <c r="B25" s="1017"/>
      <c r="C25" s="1017">
        <v>3468000</v>
      </c>
      <c r="D25" s="1017"/>
      <c r="E25" s="1017"/>
      <c r="F25" s="1017"/>
      <c r="G25" s="1017"/>
      <c r="H25" s="1017"/>
      <c r="I25" s="1017"/>
      <c r="J25" s="1017"/>
      <c r="K25" s="1017"/>
      <c r="L25" s="1017"/>
      <c r="M25" s="1017"/>
      <c r="N25" s="1017">
        <f>SUM(B25:M25)</f>
        <v>3468000</v>
      </c>
      <c r="O25" s="1018">
        <f>'2.sz.tábla   (2)'!L22+'2.sz.tábla   (2)'!L58</f>
        <v>3468000</v>
      </c>
      <c r="P25" s="995">
        <f t="shared" si="2"/>
        <v>0</v>
      </c>
    </row>
    <row r="26" spans="1:17" ht="15" x14ac:dyDescent="0.2">
      <c r="A26" s="1003" t="s">
        <v>834</v>
      </c>
      <c r="B26" s="1013">
        <f>SUM(B21:B25)</f>
        <v>1078016395</v>
      </c>
      <c r="C26" s="1013">
        <f t="shared" ref="C26:M26" si="4">SUM(C21:C25)</f>
        <v>100104479</v>
      </c>
      <c r="D26" s="1013">
        <f t="shared" si="4"/>
        <v>86636479</v>
      </c>
      <c r="E26" s="1013">
        <f t="shared" si="4"/>
        <v>117828226</v>
      </c>
      <c r="F26" s="1013">
        <f t="shared" si="4"/>
        <v>11636479</v>
      </c>
      <c r="G26" s="1013">
        <f t="shared" si="4"/>
        <v>16636234</v>
      </c>
      <c r="H26" s="1013">
        <f t="shared" si="4"/>
        <v>66696653</v>
      </c>
      <c r="I26" s="1013">
        <f t="shared" si="4"/>
        <v>597886479</v>
      </c>
      <c r="J26" s="1013">
        <f t="shared" si="4"/>
        <v>251882599</v>
      </c>
      <c r="K26" s="1013">
        <f t="shared" si="4"/>
        <v>1375654</v>
      </c>
      <c r="L26" s="1013">
        <f t="shared" si="4"/>
        <v>7051229</v>
      </c>
      <c r="M26" s="1013">
        <f t="shared" si="4"/>
        <v>4444372388</v>
      </c>
      <c r="N26" s="1013">
        <f>SUM(N21:N25)</f>
        <v>6780123294</v>
      </c>
      <c r="O26" s="995">
        <f>SUM(O21:O25)</f>
        <v>6780123294</v>
      </c>
      <c r="P26" s="995">
        <f t="shared" si="2"/>
        <v>0</v>
      </c>
    </row>
    <row r="27" spans="1:17" s="152" customFormat="1" ht="15.75" x14ac:dyDescent="0.25">
      <c r="A27" s="1020" t="s">
        <v>381</v>
      </c>
      <c r="B27" s="1021">
        <f>B20+B26</f>
        <v>1295011901</v>
      </c>
      <c r="C27" s="1021">
        <f t="shared" ref="C27:N27" si="5">C20+C26</f>
        <v>260069541</v>
      </c>
      <c r="D27" s="1021">
        <f t="shared" si="5"/>
        <v>751119791</v>
      </c>
      <c r="E27" s="1021">
        <f t="shared" si="5"/>
        <v>320902118</v>
      </c>
      <c r="F27" s="1021">
        <f t="shared" si="5"/>
        <v>200832505</v>
      </c>
      <c r="G27" s="1021">
        <f t="shared" si="5"/>
        <v>142536506</v>
      </c>
      <c r="H27" s="1021">
        <f t="shared" si="5"/>
        <v>286725418</v>
      </c>
      <c r="I27" s="1021">
        <f t="shared" si="5"/>
        <v>933030754</v>
      </c>
      <c r="J27" s="1021">
        <f t="shared" si="5"/>
        <v>1002924769</v>
      </c>
      <c r="K27" s="1021">
        <f t="shared" si="5"/>
        <v>165743704</v>
      </c>
      <c r="L27" s="1021">
        <f t="shared" si="5"/>
        <v>383202967</v>
      </c>
      <c r="M27" s="1021">
        <f t="shared" si="5"/>
        <v>5226534504</v>
      </c>
      <c r="N27" s="1021">
        <f t="shared" si="5"/>
        <v>10968634478</v>
      </c>
      <c r="O27" s="995">
        <f>O26+O20</f>
        <v>10968634478</v>
      </c>
      <c r="P27" s="995">
        <f t="shared" si="2"/>
        <v>0</v>
      </c>
    </row>
    <row r="28" spans="1:17" s="1026" customFormat="1" ht="45" x14ac:dyDescent="0.2">
      <c r="A28" s="1022" t="s">
        <v>835</v>
      </c>
      <c r="B28" s="1023">
        <v>1100000</v>
      </c>
      <c r="C28" s="1023">
        <v>1100000</v>
      </c>
      <c r="D28" s="1023">
        <v>1100000</v>
      </c>
      <c r="E28" s="1023">
        <v>1100000</v>
      </c>
      <c r="F28" s="1023">
        <v>1100000</v>
      </c>
      <c r="G28" s="1023">
        <v>271000000</v>
      </c>
      <c r="H28" s="1023">
        <v>500412000</v>
      </c>
      <c r="I28" s="1023">
        <v>1100000</v>
      </c>
      <c r="J28" s="1023">
        <v>401000000</v>
      </c>
      <c r="K28" s="1023">
        <v>401000000</v>
      </c>
      <c r="L28" s="1023">
        <f>720000000+1100000</f>
        <v>721100000</v>
      </c>
      <c r="M28" s="1023">
        <v>1000000</v>
      </c>
      <c r="N28" s="1024">
        <f>SUM(B28:M28)</f>
        <v>2302112000</v>
      </c>
      <c r="O28" s="1025">
        <f>'2.sz.tábla   (2)'!D79</f>
        <v>2302112000</v>
      </c>
      <c r="P28" s="1025">
        <f>O28-N28</f>
        <v>0</v>
      </c>
    </row>
    <row r="29" spans="1:17" ht="15" x14ac:dyDescent="0.2">
      <c r="A29" s="1001" t="s">
        <v>836</v>
      </c>
      <c r="B29" s="1000">
        <v>315929686</v>
      </c>
      <c r="C29" s="1000">
        <v>137941987</v>
      </c>
      <c r="D29" s="1000">
        <v>1174041211</v>
      </c>
      <c r="E29" s="1000">
        <v>237440183</v>
      </c>
      <c r="F29" s="1000">
        <v>72499237</v>
      </c>
      <c r="G29" s="1000">
        <v>262898806</v>
      </c>
      <c r="H29" s="1000">
        <v>0</v>
      </c>
      <c r="I29" s="1000">
        <v>83214861</v>
      </c>
      <c r="J29" s="1000">
        <v>10000000</v>
      </c>
      <c r="K29" s="1000">
        <v>8960992</v>
      </c>
      <c r="L29" s="1000">
        <v>315604117</v>
      </c>
      <c r="M29" s="1000">
        <v>436110110</v>
      </c>
      <c r="N29" s="1000">
        <f>SUM(B29:M29)</f>
        <v>3054641190</v>
      </c>
      <c r="O29" s="995">
        <f>'2.sz.tábla   (2)'!D76</f>
        <v>3054641190</v>
      </c>
    </row>
    <row r="30" spans="1:17" ht="15" x14ac:dyDescent="0.2">
      <c r="A30" s="1001" t="s">
        <v>837</v>
      </c>
      <c r="B30" s="1000">
        <v>3160149</v>
      </c>
      <c r="C30" s="1000">
        <v>7679894</v>
      </c>
      <c r="D30" s="1000">
        <v>747997</v>
      </c>
      <c r="E30" s="1000">
        <v>0</v>
      </c>
      <c r="F30" s="1000">
        <v>0</v>
      </c>
      <c r="G30" s="1000">
        <v>0</v>
      </c>
      <c r="H30" s="1000">
        <v>23984674</v>
      </c>
      <c r="I30" s="1000"/>
      <c r="J30" s="1000"/>
      <c r="K30" s="1000"/>
      <c r="L30" s="1000"/>
      <c r="M30" s="1000"/>
      <c r="N30" s="1000">
        <f>SUM(B30:M30)</f>
        <v>35572714</v>
      </c>
      <c r="O30" s="995">
        <f>'2.sz.tábla   (2)'!H76</f>
        <v>35572714</v>
      </c>
    </row>
    <row r="31" spans="1:17" s="1011" customFormat="1" ht="15" x14ac:dyDescent="0.2">
      <c r="A31" s="1012" t="s">
        <v>838</v>
      </c>
      <c r="B31" s="1008">
        <v>178958</v>
      </c>
      <c r="C31" s="1008">
        <v>10526479</v>
      </c>
      <c r="D31" s="1008">
        <v>0</v>
      </c>
      <c r="E31" s="1008">
        <v>0</v>
      </c>
      <c r="F31" s="1008">
        <v>0</v>
      </c>
      <c r="G31" s="1008">
        <v>0</v>
      </c>
      <c r="H31" s="1008">
        <v>18176223</v>
      </c>
      <c r="I31" s="1008">
        <v>0</v>
      </c>
      <c r="J31" s="1008">
        <v>0</v>
      </c>
      <c r="K31" s="1008">
        <v>0</v>
      </c>
      <c r="L31" s="1008">
        <v>0</v>
      </c>
      <c r="M31" s="1008">
        <v>0</v>
      </c>
      <c r="N31" s="1008">
        <f>SUM(B31:M31)</f>
        <v>28881660</v>
      </c>
      <c r="O31" s="1009">
        <f>'2.sz.tábla   (2)'!L76</f>
        <v>28881660</v>
      </c>
      <c r="P31" s="1010"/>
      <c r="Q31" s="1010"/>
    </row>
    <row r="32" spans="1:17" ht="15.75" x14ac:dyDescent="0.25">
      <c r="A32" s="1020" t="s">
        <v>385</v>
      </c>
      <c r="B32" s="1021">
        <f t="shared" ref="B32:N32" si="6">SUM(B27:B31)</f>
        <v>1615380694</v>
      </c>
      <c r="C32" s="1021">
        <f t="shared" si="6"/>
        <v>417317901</v>
      </c>
      <c r="D32" s="1021">
        <f t="shared" si="6"/>
        <v>1927008999</v>
      </c>
      <c r="E32" s="1021">
        <f t="shared" si="6"/>
        <v>559442301</v>
      </c>
      <c r="F32" s="1021">
        <f t="shared" si="6"/>
        <v>274431742</v>
      </c>
      <c r="G32" s="1021">
        <f t="shared" si="6"/>
        <v>676435312</v>
      </c>
      <c r="H32" s="1021">
        <f t="shared" si="6"/>
        <v>829298315</v>
      </c>
      <c r="I32" s="1021">
        <f t="shared" si="6"/>
        <v>1017345615</v>
      </c>
      <c r="J32" s="1021">
        <f t="shared" si="6"/>
        <v>1413924769</v>
      </c>
      <c r="K32" s="1021">
        <f t="shared" si="6"/>
        <v>575704696</v>
      </c>
      <c r="L32" s="1021">
        <f t="shared" si="6"/>
        <v>1419907084</v>
      </c>
      <c r="M32" s="1021">
        <f t="shared" si="6"/>
        <v>5663644614</v>
      </c>
      <c r="N32" s="1021">
        <f t="shared" si="6"/>
        <v>16389842042</v>
      </c>
      <c r="O32" s="995">
        <f>SUM(O27:O31)</f>
        <v>16389842042</v>
      </c>
      <c r="P32" s="995">
        <f>'1.sz.tábla   (2)'!D18</f>
        <v>16389842042</v>
      </c>
      <c r="Q32" s="995"/>
    </row>
    <row r="33" spans="1:16" ht="30" x14ac:dyDescent="0.2">
      <c r="A33" s="1001" t="s">
        <v>839</v>
      </c>
      <c r="B33" s="1000">
        <v>25010147</v>
      </c>
      <c r="C33" s="1000">
        <v>25837901</v>
      </c>
      <c r="D33" s="1000">
        <v>25197201</v>
      </c>
      <c r="E33" s="1000">
        <v>26327437</v>
      </c>
      <c r="F33" s="1000">
        <v>34369077</v>
      </c>
      <c r="G33" s="1000">
        <v>24166787</v>
      </c>
      <c r="H33" s="1000">
        <v>24203237</v>
      </c>
      <c r="I33" s="1000">
        <v>24371237</v>
      </c>
      <c r="J33" s="1000">
        <v>24498237</v>
      </c>
      <c r="K33" s="1000">
        <v>23771237</v>
      </c>
      <c r="L33" s="1000">
        <v>23721237</v>
      </c>
      <c r="M33" s="1000">
        <v>38014412</v>
      </c>
      <c r="N33" s="1000">
        <f t="shared" ref="N33:N43" si="7">SUM(B33:M33)</f>
        <v>319488147</v>
      </c>
      <c r="O33" s="995">
        <f>'5.tábla (2)'!D7</f>
        <v>319488147</v>
      </c>
      <c r="P33" s="995">
        <f>O33-N33</f>
        <v>0</v>
      </c>
    </row>
    <row r="34" spans="1:16" ht="15" x14ac:dyDescent="0.2">
      <c r="A34" s="1001" t="s">
        <v>840</v>
      </c>
      <c r="B34" s="1000">
        <v>12914102</v>
      </c>
      <c r="C34" s="1000">
        <v>10739610</v>
      </c>
      <c r="D34" s="1000">
        <v>9142882</v>
      </c>
      <c r="E34" s="1000">
        <v>11728405</v>
      </c>
      <c r="F34" s="1000">
        <v>8219185</v>
      </c>
      <c r="G34" s="1000">
        <v>8174432</v>
      </c>
      <c r="H34" s="1000">
        <v>11234396</v>
      </c>
      <c r="I34" s="1000">
        <v>9167442</v>
      </c>
      <c r="J34" s="1000">
        <v>8778242</v>
      </c>
      <c r="K34" s="1000">
        <v>12592129</v>
      </c>
      <c r="L34" s="1000">
        <v>11180946</v>
      </c>
      <c r="M34" s="1000">
        <v>11976616</v>
      </c>
      <c r="N34" s="1000">
        <f t="shared" si="7"/>
        <v>125848387</v>
      </c>
      <c r="O34" s="995">
        <f>'5.tábla (2)'!D46</f>
        <v>125848387</v>
      </c>
      <c r="P34" s="995">
        <f t="shared" ref="P34:P52" si="8">O34-N34</f>
        <v>0</v>
      </c>
    </row>
    <row r="35" spans="1:16" ht="30" x14ac:dyDescent="0.2">
      <c r="A35" s="1001" t="s">
        <v>841</v>
      </c>
      <c r="B35" s="1000">
        <v>5897328</v>
      </c>
      <c r="C35" s="1000">
        <v>4488478</v>
      </c>
      <c r="D35" s="1000">
        <v>4366819</v>
      </c>
      <c r="E35" s="1000">
        <v>5837866</v>
      </c>
      <c r="F35" s="1000">
        <v>7479810</v>
      </c>
      <c r="G35" s="1000">
        <v>4208450</v>
      </c>
      <c r="H35" s="1000">
        <v>5494801</v>
      </c>
      <c r="I35" s="1000">
        <v>4230050</v>
      </c>
      <c r="J35" s="1000">
        <v>4253162</v>
      </c>
      <c r="K35" s="1000">
        <v>5393743</v>
      </c>
      <c r="L35" s="1000">
        <v>4126800</v>
      </c>
      <c r="M35" s="1000">
        <v>7021259</v>
      </c>
      <c r="N35" s="1000">
        <f t="shared" si="7"/>
        <v>62798566</v>
      </c>
      <c r="O35" s="995">
        <f>'5.tábla (2)'!D16</f>
        <v>62798566</v>
      </c>
      <c r="P35" s="995">
        <f t="shared" si="8"/>
        <v>0</v>
      </c>
    </row>
    <row r="36" spans="1:16" ht="15" x14ac:dyDescent="0.2">
      <c r="A36" s="1001" t="s">
        <v>842</v>
      </c>
      <c r="B36" s="1000">
        <v>2041154</v>
      </c>
      <c r="C36" s="1000">
        <v>2296076</v>
      </c>
      <c r="D36" s="1000">
        <v>1368004</v>
      </c>
      <c r="E36" s="1000">
        <v>1497899</v>
      </c>
      <c r="F36" s="1000">
        <v>1841519</v>
      </c>
      <c r="G36" s="1000">
        <v>1316938</v>
      </c>
      <c r="H36" s="1000">
        <v>1302942</v>
      </c>
      <c r="I36" s="1000">
        <v>2189705</v>
      </c>
      <c r="J36" s="1000">
        <v>1258436</v>
      </c>
      <c r="K36" s="1000">
        <v>2324217</v>
      </c>
      <c r="L36" s="1000">
        <v>1918094</v>
      </c>
      <c r="M36" s="1000">
        <v>1804013</v>
      </c>
      <c r="N36" s="1000">
        <f t="shared" si="7"/>
        <v>21158997</v>
      </c>
      <c r="O36" s="995">
        <f>'5.tábla (2)'!D61</f>
        <v>21158997</v>
      </c>
      <c r="P36" s="995">
        <f t="shared" si="8"/>
        <v>0</v>
      </c>
    </row>
    <row r="37" spans="1:16" ht="30" x14ac:dyDescent="0.2">
      <c r="A37" s="1001" t="s">
        <v>843</v>
      </c>
      <c r="B37" s="1000">
        <v>8817628</v>
      </c>
      <c r="C37" s="1000">
        <v>7530390</v>
      </c>
      <c r="D37" s="1000">
        <v>11607640</v>
      </c>
      <c r="E37" s="1000">
        <v>5864390</v>
      </c>
      <c r="F37" s="1000">
        <v>6168390</v>
      </c>
      <c r="G37" s="1000">
        <v>5828255</v>
      </c>
      <c r="H37" s="1000">
        <v>6088390</v>
      </c>
      <c r="I37" s="1000">
        <v>6218255</v>
      </c>
      <c r="J37" s="1000">
        <v>6323390</v>
      </c>
      <c r="K37" s="1000">
        <v>7803120</v>
      </c>
      <c r="L37" s="1000">
        <v>6258255</v>
      </c>
      <c r="M37" s="1000">
        <v>6759885</v>
      </c>
      <c r="N37" s="1000">
        <f t="shared" si="7"/>
        <v>85267988</v>
      </c>
      <c r="O37" s="995">
        <f>'5.tábla (2)'!D25</f>
        <v>85267988</v>
      </c>
      <c r="P37" s="995">
        <f t="shared" si="8"/>
        <v>0</v>
      </c>
    </row>
    <row r="38" spans="1:16" ht="15" x14ac:dyDescent="0.2">
      <c r="A38" s="1001" t="s">
        <v>844</v>
      </c>
      <c r="B38" s="1000">
        <v>84092197</v>
      </c>
      <c r="C38" s="1000">
        <v>76055843</v>
      </c>
      <c r="D38" s="1000">
        <v>51601648</v>
      </c>
      <c r="E38" s="1000">
        <v>38104435</v>
      </c>
      <c r="F38" s="1000">
        <v>45584200</v>
      </c>
      <c r="G38" s="1000">
        <v>37571554</v>
      </c>
      <c r="H38" s="1000">
        <v>50876178</v>
      </c>
      <c r="I38" s="1000">
        <v>70861650</v>
      </c>
      <c r="J38" s="1000">
        <v>65229493</v>
      </c>
      <c r="K38" s="1000">
        <v>64750460</v>
      </c>
      <c r="L38" s="1000">
        <v>56307273</v>
      </c>
      <c r="M38" s="1000">
        <v>470033939</v>
      </c>
      <c r="N38" s="1000">
        <f t="shared" si="7"/>
        <v>1111068870</v>
      </c>
      <c r="O38" s="995">
        <f>'5.tábla (2)'!D75</f>
        <v>1111068870</v>
      </c>
      <c r="P38" s="995">
        <f t="shared" si="8"/>
        <v>0</v>
      </c>
    </row>
    <row r="39" spans="1:16" ht="27.75" customHeight="1" x14ac:dyDescent="0.2">
      <c r="A39" s="1001" t="s">
        <v>1020</v>
      </c>
      <c r="B39" s="1000"/>
      <c r="C39" s="1000"/>
      <c r="D39" s="1000"/>
      <c r="E39" s="1000"/>
      <c r="F39" s="1000"/>
      <c r="G39" s="1000"/>
      <c r="H39" s="1000">
        <v>2884470</v>
      </c>
      <c r="I39" s="1000"/>
      <c r="J39" s="1000"/>
      <c r="K39" s="1000"/>
      <c r="L39" s="1000"/>
      <c r="M39" s="1000"/>
      <c r="N39" s="1000">
        <f t="shared" si="7"/>
        <v>2884470</v>
      </c>
      <c r="O39" s="995">
        <f>'5.tábla (2)'!D33+'5.tábla (2)'!D31+'5.tábla (2)'!D35</f>
        <v>2884470</v>
      </c>
      <c r="P39" s="995">
        <f t="shared" si="8"/>
        <v>0</v>
      </c>
    </row>
    <row r="40" spans="1:16" ht="15" customHeight="1" x14ac:dyDescent="0.2">
      <c r="A40" s="1001" t="s">
        <v>845</v>
      </c>
      <c r="B40" s="1000">
        <v>1878000</v>
      </c>
      <c r="C40" s="1000">
        <v>1880000</v>
      </c>
      <c r="D40" s="1000">
        <v>2380000</v>
      </c>
      <c r="E40" s="1000">
        <v>2380000</v>
      </c>
      <c r="F40" s="1000">
        <v>2080000</v>
      </c>
      <c r="G40" s="1000">
        <v>2140000</v>
      </c>
      <c r="H40" s="1000">
        <v>2080000</v>
      </c>
      <c r="I40" s="1000">
        <v>1880000</v>
      </c>
      <c r="J40" s="1000">
        <v>2580000</v>
      </c>
      <c r="K40" s="1000">
        <v>2380000</v>
      </c>
      <c r="L40" s="1000">
        <v>5600000</v>
      </c>
      <c r="M40" s="1000">
        <v>3342000</v>
      </c>
      <c r="N40" s="1000">
        <f t="shared" si="7"/>
        <v>30600000</v>
      </c>
      <c r="O40" s="995">
        <f>'5.tábla (2)'!D124</f>
        <v>30600000</v>
      </c>
      <c r="P40" s="995">
        <f t="shared" si="8"/>
        <v>0</v>
      </c>
    </row>
    <row r="41" spans="1:16" ht="15" x14ac:dyDescent="0.2">
      <c r="A41" s="1001" t="s">
        <v>846</v>
      </c>
      <c r="B41" s="1000">
        <v>92586329</v>
      </c>
      <c r="C41" s="1000">
        <v>89671912</v>
      </c>
      <c r="D41" s="1000">
        <v>131366437</v>
      </c>
      <c r="E41" s="1000">
        <v>118814788</v>
      </c>
      <c r="F41" s="1000">
        <v>112868966</v>
      </c>
      <c r="G41" s="1000">
        <v>84256466</v>
      </c>
      <c r="H41" s="1000">
        <v>83737933</v>
      </c>
      <c r="I41" s="1000">
        <v>78808862</v>
      </c>
      <c r="J41" s="1000">
        <v>89492387</v>
      </c>
      <c r="K41" s="1000">
        <v>123218618</v>
      </c>
      <c r="L41" s="1000">
        <v>108374817</v>
      </c>
      <c r="M41" s="1000">
        <v>115958885</v>
      </c>
      <c r="N41" s="1000">
        <f t="shared" si="7"/>
        <v>1229156400</v>
      </c>
      <c r="O41" s="995">
        <f>'5.tábla (2)'!D134</f>
        <v>1229156400</v>
      </c>
      <c r="P41" s="995">
        <f t="shared" si="8"/>
        <v>0</v>
      </c>
    </row>
    <row r="42" spans="1:16" s="1030" customFormat="1" ht="30" x14ac:dyDescent="0.2">
      <c r="A42" s="1027" t="s">
        <v>847</v>
      </c>
      <c r="B42" s="1028">
        <v>34310556</v>
      </c>
      <c r="C42" s="1028">
        <v>32326229</v>
      </c>
      <c r="D42" s="1028">
        <v>31986966</v>
      </c>
      <c r="E42" s="1028">
        <v>31986966</v>
      </c>
      <c r="F42" s="1028">
        <v>36557725</v>
      </c>
      <c r="G42" s="1028">
        <v>31986966</v>
      </c>
      <c r="H42" s="1028">
        <v>48773257</v>
      </c>
      <c r="I42" s="1028">
        <v>32099819</v>
      </c>
      <c r="J42" s="1028">
        <v>31769818</v>
      </c>
      <c r="K42" s="1028">
        <v>32153019</v>
      </c>
      <c r="L42" s="1028">
        <v>35373422</v>
      </c>
      <c r="M42" s="1028">
        <v>34750877</v>
      </c>
      <c r="N42" s="1028">
        <f t="shared" si="7"/>
        <v>414075620</v>
      </c>
      <c r="O42" s="1029">
        <f>'4.sz.tábla '!D9+'4.sz.tábla '!H9+'4.sz.tábla '!L9+'4.sz.tábla '!Q9+'4.sz.tábla '!U9</f>
        <v>414075620</v>
      </c>
      <c r="P42" s="995">
        <f t="shared" si="8"/>
        <v>0</v>
      </c>
    </row>
    <row r="43" spans="1:16" ht="15" x14ac:dyDescent="0.2">
      <c r="A43" s="1001" t="s">
        <v>848</v>
      </c>
      <c r="B43" s="1000"/>
      <c r="C43" s="1000"/>
      <c r="D43" s="1000"/>
      <c r="E43" s="1000"/>
      <c r="F43" s="1000"/>
      <c r="G43" s="1000"/>
      <c r="H43" s="1000"/>
      <c r="I43" s="1000"/>
      <c r="J43" s="1000"/>
      <c r="K43" s="1000"/>
      <c r="L43" s="1000"/>
      <c r="M43" s="1000">
        <f>O43</f>
        <v>335108445</v>
      </c>
      <c r="N43" s="1000">
        <f t="shared" si="7"/>
        <v>335108445</v>
      </c>
      <c r="O43" s="995">
        <f>'1.sz.tábla   (2)'!D30</f>
        <v>335108445</v>
      </c>
      <c r="P43" s="995">
        <f t="shared" si="8"/>
        <v>0</v>
      </c>
    </row>
    <row r="44" spans="1:16" ht="15" x14ac:dyDescent="0.2">
      <c r="A44" s="1003" t="s">
        <v>849</v>
      </c>
      <c r="B44" s="1013">
        <f t="shared" ref="B44:O44" si="9">SUM(B33:B43)</f>
        <v>267547441</v>
      </c>
      <c r="C44" s="1013">
        <f t="shared" si="9"/>
        <v>250826439</v>
      </c>
      <c r="D44" s="1013">
        <f t="shared" si="9"/>
        <v>269017597</v>
      </c>
      <c r="E44" s="1013">
        <f t="shared" si="9"/>
        <v>242542186</v>
      </c>
      <c r="F44" s="1013">
        <f t="shared" si="9"/>
        <v>255168872</v>
      </c>
      <c r="G44" s="1013">
        <f t="shared" si="9"/>
        <v>199649848</v>
      </c>
      <c r="H44" s="1013">
        <f t="shared" si="9"/>
        <v>236675604</v>
      </c>
      <c r="I44" s="1013">
        <f t="shared" si="9"/>
        <v>229827020</v>
      </c>
      <c r="J44" s="1013">
        <f t="shared" si="9"/>
        <v>234183165</v>
      </c>
      <c r="K44" s="1013">
        <f t="shared" si="9"/>
        <v>274386543</v>
      </c>
      <c r="L44" s="1013">
        <f t="shared" si="9"/>
        <v>252860844</v>
      </c>
      <c r="M44" s="1013">
        <f t="shared" si="9"/>
        <v>1024770331</v>
      </c>
      <c r="N44" s="1013">
        <f t="shared" si="9"/>
        <v>3737455890</v>
      </c>
      <c r="O44" s="995">
        <f t="shared" si="9"/>
        <v>3737455890</v>
      </c>
      <c r="P44" s="995">
        <f t="shared" si="8"/>
        <v>0</v>
      </c>
    </row>
    <row r="45" spans="1:16" ht="15" x14ac:dyDescent="0.2">
      <c r="A45" s="1001" t="s">
        <v>850</v>
      </c>
      <c r="B45" s="1000">
        <v>13749246</v>
      </c>
      <c r="C45" s="1000">
        <v>274911524</v>
      </c>
      <c r="D45" s="1000">
        <v>95467605</v>
      </c>
      <c r="E45" s="1000">
        <v>0</v>
      </c>
      <c r="F45" s="1000">
        <v>163976359</v>
      </c>
      <c r="G45" s="1000">
        <v>210501682</v>
      </c>
      <c r="H45" s="1000">
        <v>1080826901</v>
      </c>
      <c r="I45" s="1000">
        <v>122727059</v>
      </c>
      <c r="J45" s="1000">
        <v>255927061</v>
      </c>
      <c r="K45" s="1000">
        <v>680269304</v>
      </c>
      <c r="L45" s="1000">
        <v>930172428</v>
      </c>
      <c r="M45" s="1000">
        <v>5934098391</v>
      </c>
      <c r="N45" s="1000">
        <f>SUM(B45:M45)</f>
        <v>9762627560</v>
      </c>
      <c r="O45" s="1031">
        <f>'7. sz. tábla 1'!D170</f>
        <v>9762627560</v>
      </c>
      <c r="P45" s="995">
        <f t="shared" si="8"/>
        <v>0</v>
      </c>
    </row>
    <row r="46" spans="1:16" ht="15" x14ac:dyDescent="0.2">
      <c r="A46" s="1001" t="s">
        <v>851</v>
      </c>
      <c r="B46" s="1000">
        <v>32538127</v>
      </c>
      <c r="C46" s="1000">
        <v>3556000</v>
      </c>
      <c r="D46" s="1000">
        <v>7524500</v>
      </c>
      <c r="E46" s="1000">
        <v>0</v>
      </c>
      <c r="F46" s="1000">
        <v>13100000</v>
      </c>
      <c r="G46" s="1000">
        <v>0</v>
      </c>
      <c r="H46" s="1000">
        <v>2000000</v>
      </c>
      <c r="I46" s="1000">
        <v>0</v>
      </c>
      <c r="J46" s="1000">
        <v>9707000</v>
      </c>
      <c r="K46" s="1000">
        <v>0</v>
      </c>
      <c r="L46" s="1000">
        <v>0</v>
      </c>
      <c r="M46" s="1000">
        <f>40000000+3575620</f>
        <v>43575620</v>
      </c>
      <c r="N46" s="1000">
        <f>SUM(B46:M46)</f>
        <v>112001247</v>
      </c>
      <c r="O46" s="995">
        <f>'7. sz. tábla 1'!D242</f>
        <v>112001247</v>
      </c>
      <c r="P46" s="995">
        <f t="shared" si="8"/>
        <v>0</v>
      </c>
    </row>
    <row r="47" spans="1:16" s="1010" customFormat="1" ht="15" x14ac:dyDescent="0.2">
      <c r="A47" s="1012" t="s">
        <v>852</v>
      </c>
      <c r="B47" s="1032">
        <v>0</v>
      </c>
      <c r="C47" s="1032">
        <v>7679894</v>
      </c>
      <c r="D47" s="1032">
        <f>1200000+747997+15205000</f>
        <v>17152997</v>
      </c>
      <c r="E47" s="1032">
        <f>6600000+296778</f>
        <v>6896778</v>
      </c>
      <c r="F47" s="1032">
        <f>200000+496777+200000</f>
        <v>896777</v>
      </c>
      <c r="G47" s="1032">
        <f>296778</f>
        <v>296778</v>
      </c>
      <c r="H47" s="1032">
        <f>200000+296778+235600+1400000</f>
        <v>2132378</v>
      </c>
      <c r="I47" s="1032">
        <f>396778+235600+225281+350470</f>
        <v>1208129</v>
      </c>
      <c r="J47" s="1032">
        <f>2200000+396778+235600</f>
        <v>2832378</v>
      </c>
      <c r="K47" s="1032">
        <f>396777+235600+60000-316185</f>
        <v>376192</v>
      </c>
      <c r="L47" s="1032">
        <f>200000+296778+235600-316185</f>
        <v>416193</v>
      </c>
      <c r="M47" s="1032">
        <f>2000000+296778-200000+400000+80000</f>
        <v>2576778</v>
      </c>
      <c r="N47" s="1008">
        <f>SUM(B47:M47)</f>
        <v>42465272</v>
      </c>
      <c r="O47" s="1009">
        <f>'4.sz.tábla '!Y11</f>
        <v>42465272</v>
      </c>
      <c r="P47" s="995">
        <f t="shared" si="8"/>
        <v>0</v>
      </c>
    </row>
    <row r="48" spans="1:16" ht="15" x14ac:dyDescent="0.2">
      <c r="A48" s="1001" t="s">
        <v>853</v>
      </c>
      <c r="B48" s="1000">
        <v>12912910</v>
      </c>
      <c r="C48" s="1000">
        <v>8550670</v>
      </c>
      <c r="D48" s="1000">
        <v>1140337938</v>
      </c>
      <c r="E48" s="1000">
        <v>140720264</v>
      </c>
      <c r="F48" s="1000">
        <v>0</v>
      </c>
      <c r="G48" s="1000">
        <v>2479774</v>
      </c>
      <c r="H48" s="1000">
        <v>26646398</v>
      </c>
      <c r="I48" s="1000">
        <v>57221551</v>
      </c>
      <c r="J48" s="1000">
        <v>252556250</v>
      </c>
      <c r="K48" s="1000">
        <v>19716081</v>
      </c>
      <c r="L48" s="1000">
        <v>1700000</v>
      </c>
      <c r="M48" s="1000">
        <v>144818608</v>
      </c>
      <c r="N48" s="1000">
        <f>SUM(B48:M48)</f>
        <v>1807660444</v>
      </c>
      <c r="O48" s="995">
        <f>'7. sz. tábla 1'!D229</f>
        <v>1807660444</v>
      </c>
      <c r="P48" s="995">
        <f t="shared" si="8"/>
        <v>0</v>
      </c>
    </row>
    <row r="49" spans="1:16" ht="15" x14ac:dyDescent="0.2">
      <c r="A49" s="1003" t="s">
        <v>854</v>
      </c>
      <c r="B49" s="1013">
        <f t="shared" ref="B49:N49" si="10">SUM(B45:B48)</f>
        <v>59200283</v>
      </c>
      <c r="C49" s="1013">
        <f t="shared" si="10"/>
        <v>294698088</v>
      </c>
      <c r="D49" s="1013">
        <f t="shared" si="10"/>
        <v>1260483040</v>
      </c>
      <c r="E49" s="1013">
        <f t="shared" si="10"/>
        <v>147617042</v>
      </c>
      <c r="F49" s="1013">
        <f t="shared" si="10"/>
        <v>177973136</v>
      </c>
      <c r="G49" s="1013">
        <f t="shared" si="10"/>
        <v>213278234</v>
      </c>
      <c r="H49" s="1013">
        <f t="shared" si="10"/>
        <v>1111605677</v>
      </c>
      <c r="I49" s="1013">
        <f t="shared" si="10"/>
        <v>181156739</v>
      </c>
      <c r="J49" s="1013">
        <f t="shared" si="10"/>
        <v>521022689</v>
      </c>
      <c r="K49" s="1013">
        <f t="shared" si="10"/>
        <v>700361577</v>
      </c>
      <c r="L49" s="1013">
        <f t="shared" si="10"/>
        <v>932288621</v>
      </c>
      <c r="M49" s="1013">
        <f t="shared" si="10"/>
        <v>6125069397</v>
      </c>
      <c r="N49" s="1033">
        <f t="shared" si="10"/>
        <v>11724754523</v>
      </c>
      <c r="O49" s="995">
        <f>SUM(O45:O48)</f>
        <v>11724754523</v>
      </c>
      <c r="P49" s="995">
        <f t="shared" si="8"/>
        <v>0</v>
      </c>
    </row>
    <row r="50" spans="1:16" ht="15.75" x14ac:dyDescent="0.25">
      <c r="A50" s="1020" t="s">
        <v>397</v>
      </c>
      <c r="B50" s="1021">
        <f>B44+B49</f>
        <v>326747724</v>
      </c>
      <c r="C50" s="1021">
        <f t="shared" ref="C50:O50" si="11">C44+C49</f>
        <v>545524527</v>
      </c>
      <c r="D50" s="1021">
        <f t="shared" si="11"/>
        <v>1529500637</v>
      </c>
      <c r="E50" s="1021">
        <f t="shared" si="11"/>
        <v>390159228</v>
      </c>
      <c r="F50" s="1021">
        <f t="shared" si="11"/>
        <v>433142008</v>
      </c>
      <c r="G50" s="1021">
        <f t="shared" si="11"/>
        <v>412928082</v>
      </c>
      <c r="H50" s="1021">
        <f t="shared" si="11"/>
        <v>1348281281</v>
      </c>
      <c r="I50" s="1021">
        <f t="shared" si="11"/>
        <v>410983759</v>
      </c>
      <c r="J50" s="1021">
        <f t="shared" si="11"/>
        <v>755205854</v>
      </c>
      <c r="K50" s="1021">
        <f t="shared" si="11"/>
        <v>974748120</v>
      </c>
      <c r="L50" s="1021">
        <f t="shared" si="11"/>
        <v>1185149465</v>
      </c>
      <c r="M50" s="1034">
        <f t="shared" si="11"/>
        <v>7149839728</v>
      </c>
      <c r="N50" s="1035">
        <f>N44+N49</f>
        <v>15462210413</v>
      </c>
      <c r="O50" s="1036">
        <f t="shared" si="11"/>
        <v>15462210413</v>
      </c>
      <c r="P50" s="995">
        <f t="shared" si="8"/>
        <v>0</v>
      </c>
    </row>
    <row r="51" spans="1:16" ht="31.5" x14ac:dyDescent="0.25">
      <c r="A51" s="1020" t="s">
        <v>855</v>
      </c>
      <c r="B51" s="1021">
        <v>41689205</v>
      </c>
      <c r="C51" s="1021">
        <v>1100000</v>
      </c>
      <c r="D51" s="1021">
        <f>'[5]7. sz. tábla 1'!D246/2+1100000</f>
        <v>38221212</v>
      </c>
      <c r="E51" s="1021">
        <v>1100000</v>
      </c>
      <c r="F51" s="1021">
        <v>1100000</v>
      </c>
      <c r="G51" s="1021">
        <v>1100000</v>
      </c>
      <c r="H51" s="1021">
        <v>1100000</v>
      </c>
      <c r="I51" s="1021">
        <v>1100000</v>
      </c>
      <c r="J51" s="1021">
        <v>818121212</v>
      </c>
      <c r="K51" s="1021">
        <v>21000000</v>
      </c>
      <c r="L51" s="1021">
        <v>1000000</v>
      </c>
      <c r="M51" s="1021">
        <v>1000000</v>
      </c>
      <c r="N51" s="1037">
        <f>SUM(B51:M51)</f>
        <v>927631629</v>
      </c>
      <c r="O51" s="995">
        <f>'7. sz. tábla 1'!D237</f>
        <v>927631629</v>
      </c>
      <c r="P51" s="995">
        <f t="shared" si="8"/>
        <v>0</v>
      </c>
    </row>
    <row r="52" spans="1:16" ht="15.75" x14ac:dyDescent="0.25">
      <c r="A52" s="1038" t="s">
        <v>400</v>
      </c>
      <c r="B52" s="1039">
        <f t="shared" ref="B52:M52" si="12">SUM(B50:B51)</f>
        <v>368436929</v>
      </c>
      <c r="C52" s="1039">
        <f t="shared" si="12"/>
        <v>546624527</v>
      </c>
      <c r="D52" s="1039">
        <f t="shared" si="12"/>
        <v>1567721849</v>
      </c>
      <c r="E52" s="1039">
        <f t="shared" si="12"/>
        <v>391259228</v>
      </c>
      <c r="F52" s="1039">
        <f t="shared" si="12"/>
        <v>434242008</v>
      </c>
      <c r="G52" s="1039">
        <f t="shared" si="12"/>
        <v>414028082</v>
      </c>
      <c r="H52" s="1039">
        <f t="shared" si="12"/>
        <v>1349381281</v>
      </c>
      <c r="I52" s="1039">
        <f t="shared" si="12"/>
        <v>412083759</v>
      </c>
      <c r="J52" s="1039">
        <f t="shared" si="12"/>
        <v>1573327066</v>
      </c>
      <c r="K52" s="1039">
        <f t="shared" si="12"/>
        <v>995748120</v>
      </c>
      <c r="L52" s="1039">
        <f t="shared" si="12"/>
        <v>1186149465</v>
      </c>
      <c r="M52" s="1039">
        <f t="shared" si="12"/>
        <v>7150839728</v>
      </c>
      <c r="N52" s="1021">
        <f>SUM(B52:M52)</f>
        <v>16389842042</v>
      </c>
      <c r="O52" s="995">
        <f>O51+O49+O44</f>
        <v>16389842042</v>
      </c>
      <c r="P52" s="995">
        <f t="shared" si="8"/>
        <v>0</v>
      </c>
    </row>
    <row r="53" spans="1:16" ht="15.75" x14ac:dyDescent="0.25">
      <c r="A53" s="1038" t="s">
        <v>856</v>
      </c>
      <c r="B53" s="1039"/>
      <c r="C53" s="1039"/>
      <c r="D53" s="1039"/>
      <c r="E53" s="1039"/>
      <c r="F53" s="1039"/>
      <c r="G53" s="1039"/>
      <c r="H53" s="1039"/>
      <c r="I53" s="1039"/>
      <c r="J53" s="1039"/>
      <c r="K53" s="1039"/>
      <c r="L53" s="1039"/>
      <c r="M53" s="1039"/>
      <c r="N53" s="1021">
        <f>SUM(B53:M53)</f>
        <v>0</v>
      </c>
      <c r="O53" s="995"/>
      <c r="P53" s="995"/>
    </row>
    <row r="54" spans="1:16" ht="15.75" x14ac:dyDescent="0.25">
      <c r="A54" s="1020" t="s">
        <v>857</v>
      </c>
      <c r="B54" s="1021">
        <f t="shared" ref="B54:M54" si="13">B6+B27+B28+B53-B50-B51</f>
        <v>4315561559</v>
      </c>
      <c r="C54" s="1021">
        <f t="shared" si="13"/>
        <v>4030106573</v>
      </c>
      <c r="D54" s="1021">
        <f t="shared" si="13"/>
        <v>3214604515</v>
      </c>
      <c r="E54" s="1021">
        <f t="shared" si="13"/>
        <v>3145347405</v>
      </c>
      <c r="F54" s="1021">
        <f t="shared" si="13"/>
        <v>2913037902</v>
      </c>
      <c r="G54" s="1021">
        <f t="shared" si="13"/>
        <v>2912546326</v>
      </c>
      <c r="H54" s="1021">
        <f t="shared" si="13"/>
        <v>2350302463</v>
      </c>
      <c r="I54" s="1021">
        <f t="shared" si="13"/>
        <v>2872349458</v>
      </c>
      <c r="J54" s="1021">
        <f t="shared" si="13"/>
        <v>2702947161</v>
      </c>
      <c r="K54" s="1021">
        <f t="shared" si="13"/>
        <v>2273942745</v>
      </c>
      <c r="L54" s="1021">
        <f t="shared" si="13"/>
        <v>2192096247</v>
      </c>
      <c r="M54" s="1021">
        <f t="shared" si="13"/>
        <v>268791023</v>
      </c>
      <c r="N54" s="1021">
        <f>N6+N27+N28+N53-N50-N51</f>
        <v>268791023</v>
      </c>
      <c r="O54" s="995">
        <f>N6+N27+N28+N53-N50-N51</f>
        <v>268791023</v>
      </c>
    </row>
    <row r="55" spans="1:16" x14ac:dyDescent="0.2">
      <c r="J55" s="1042"/>
    </row>
  </sheetData>
  <sheetProtection selectLockedCells="1" selectUnlockedCells="1"/>
  <mergeCells count="2">
    <mergeCell ref="M2:N2"/>
    <mergeCell ref="A3:O3"/>
  </mergeCells>
  <pageMargins left="0.25" right="0.25" top="0.75" bottom="0.75" header="0.3" footer="0.3"/>
  <pageSetup paperSize="9" scale="53" firstPageNumber="0" orientation="landscape" r:id="rId1"/>
  <headerFooter alignWithMargins="0">
    <oddHeader xml:space="preserve">&amp;C17. melléklet 
 az önkormányzat 2020. évi költségvetéséről szóló 6/2019. (III.06.) önkormányzati rendelethez
a 42/2020. (XII.21.) önkormányzati rendelet módosítással egységes szerkezetbe foglalva&amp;R
&amp;P. oldal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M44"/>
  <sheetViews>
    <sheetView view="pageLayout" topLeftCell="A3" zoomScaleNormal="75" zoomScaleSheetLayoutView="80" workbookViewId="0">
      <selection activeCell="G7" sqref="G7"/>
    </sheetView>
  </sheetViews>
  <sheetFormatPr defaultColWidth="9.140625" defaultRowHeight="14.25" x14ac:dyDescent="0.2"/>
  <cols>
    <col min="1" max="1" width="40.42578125" style="1725" customWidth="1"/>
    <col min="2" max="2" width="15.140625" style="448" customWidth="1"/>
    <col min="3" max="3" width="18.7109375" style="448" customWidth="1"/>
    <col min="4" max="4" width="17.7109375" style="448" customWidth="1"/>
    <col min="5" max="5" width="16.85546875" style="448" customWidth="1"/>
    <col min="6" max="16384" width="9.140625" style="1697"/>
  </cols>
  <sheetData>
    <row r="1" spans="1:6" ht="15" hidden="1" x14ac:dyDescent="0.25">
      <c r="A1" s="1696"/>
    </row>
    <row r="2" spans="1:6" ht="15" hidden="1" x14ac:dyDescent="0.25">
      <c r="A2" s="1696"/>
    </row>
    <row r="3" spans="1:6" ht="15" x14ac:dyDescent="0.25">
      <c r="A3" s="1696"/>
    </row>
    <row r="4" spans="1:6" ht="15" x14ac:dyDescent="0.25">
      <c r="A4" s="1696"/>
    </row>
    <row r="5" spans="1:6" ht="31.5" customHeight="1" x14ac:dyDescent="0.25">
      <c r="A5" s="2021" t="s">
        <v>1157</v>
      </c>
      <c r="B5" s="2021"/>
      <c r="C5" s="2021"/>
      <c r="D5" s="2021"/>
      <c r="E5" s="2021"/>
    </row>
    <row r="6" spans="1:6" ht="15.75" customHeight="1" x14ac:dyDescent="0.25">
      <c r="A6" s="2021" t="s">
        <v>1158</v>
      </c>
      <c r="B6" s="2021"/>
      <c r="C6" s="2021"/>
      <c r="D6" s="2021"/>
      <c r="E6" s="2021"/>
    </row>
    <row r="7" spans="1:6" ht="15.75" thickBot="1" x14ac:dyDescent="0.3">
      <c r="A7" s="1696"/>
    </row>
    <row r="8" spans="1:6" s="1700" customFormat="1" ht="56.25" customHeight="1" thickBot="1" x14ac:dyDescent="0.25">
      <c r="A8" s="1391" t="s">
        <v>302</v>
      </c>
      <c r="B8" s="1698" t="s">
        <v>660</v>
      </c>
      <c r="C8" s="1698" t="s">
        <v>1159</v>
      </c>
      <c r="D8" s="1698" t="s">
        <v>1160</v>
      </c>
      <c r="E8" s="1699" t="s">
        <v>1161</v>
      </c>
    </row>
    <row r="9" spans="1:6" ht="28.5" x14ac:dyDescent="0.2">
      <c r="A9" s="1701" t="s">
        <v>1162</v>
      </c>
      <c r="B9" s="1702">
        <f>'[7]2.sz.tábla   (2)'!M7</f>
        <v>1518232816</v>
      </c>
      <c r="C9" s="1702">
        <v>1086063675</v>
      </c>
      <c r="D9" s="1702">
        <v>1120000000</v>
      </c>
      <c r="E9" s="1703">
        <v>1160000000</v>
      </c>
      <c r="F9" s="1704"/>
    </row>
    <row r="10" spans="1:6" ht="28.5" x14ac:dyDescent="0.2">
      <c r="A10" s="1705" t="s">
        <v>1163</v>
      </c>
      <c r="B10" s="75">
        <f>'[7]2.sz.tábla   (2)'!M22</f>
        <v>4751248431</v>
      </c>
      <c r="C10" s="75">
        <v>3830000000</v>
      </c>
      <c r="D10" s="75">
        <v>400000000</v>
      </c>
      <c r="E10" s="360">
        <v>500000000</v>
      </c>
      <c r="F10" s="1704"/>
    </row>
    <row r="11" spans="1:6" ht="20.100000000000001" customHeight="1" x14ac:dyDescent="0.2">
      <c r="A11" s="1705" t="s">
        <v>376</v>
      </c>
      <c r="B11" s="75">
        <f>'[7]2.sz.tábla   (2)'!M30</f>
        <v>2058240000</v>
      </c>
      <c r="C11" s="576">
        <v>2058240000</v>
      </c>
      <c r="D11" s="75">
        <v>2058240000</v>
      </c>
      <c r="E11" s="360">
        <v>2058240000</v>
      </c>
    </row>
    <row r="12" spans="1:6" ht="28.5" customHeight="1" x14ac:dyDescent="0.2">
      <c r="A12" s="1705" t="s">
        <v>377</v>
      </c>
      <c r="B12" s="75">
        <f>'[7]2.sz.tábla   (2)'!M43</f>
        <v>849595329</v>
      </c>
      <c r="C12" s="75">
        <v>720000000</v>
      </c>
      <c r="D12" s="75">
        <v>760000000</v>
      </c>
      <c r="E12" s="360">
        <v>800000000</v>
      </c>
      <c r="F12" s="1704"/>
    </row>
    <row r="13" spans="1:6" ht="32.25" customHeight="1" x14ac:dyDescent="0.2">
      <c r="A13" s="1705" t="s">
        <v>378</v>
      </c>
      <c r="B13" s="75">
        <f>'[7]2.sz.tábla   (2)'!M58</f>
        <v>270196741</v>
      </c>
      <c r="C13" s="576"/>
      <c r="D13" s="75"/>
      <c r="E13" s="360"/>
      <c r="F13" s="1704"/>
    </row>
    <row r="14" spans="1:6" ht="33" customHeight="1" x14ac:dyDescent="0.2">
      <c r="A14" s="1706" t="s">
        <v>379</v>
      </c>
      <c r="B14" s="75">
        <f>'[7]2.sz.tábla   (2)'!M66</f>
        <v>3000000</v>
      </c>
      <c r="C14" s="576"/>
      <c r="D14" s="75"/>
      <c r="E14" s="360">
        <v>0</v>
      </c>
    </row>
    <row r="15" spans="1:6" ht="33" customHeight="1" x14ac:dyDescent="0.2">
      <c r="A15" s="1706" t="s">
        <v>380</v>
      </c>
      <c r="B15" s="75">
        <f>'[7]2.sz.tábla   (2)'!M70</f>
        <v>227000542</v>
      </c>
      <c r="C15" s="576">
        <v>30096465</v>
      </c>
      <c r="D15" s="576">
        <v>24494803</v>
      </c>
      <c r="E15" s="1707">
        <v>22280750</v>
      </c>
    </row>
    <row r="16" spans="1:6" ht="36.75" customHeight="1" x14ac:dyDescent="0.25">
      <c r="A16" s="1708" t="s">
        <v>381</v>
      </c>
      <c r="B16" s="1709">
        <f>SUM(B9:B15)</f>
        <v>9677513859</v>
      </c>
      <c r="C16" s="1709">
        <f>SUM(C9:C15)</f>
        <v>7724400140</v>
      </c>
      <c r="D16" s="1709">
        <f>SUM(D9:D15)</f>
        <v>4362734803</v>
      </c>
      <c r="E16" s="1710">
        <f>SUM(E9:E15)</f>
        <v>4540520750</v>
      </c>
    </row>
    <row r="17" spans="1:13" ht="27" customHeight="1" x14ac:dyDescent="0.25">
      <c r="A17" s="1708" t="s">
        <v>1164</v>
      </c>
      <c r="B17" s="76"/>
      <c r="C17" s="76"/>
      <c r="D17" s="76"/>
      <c r="E17" s="190"/>
      <c r="F17" s="1704"/>
    </row>
    <row r="18" spans="1:13" ht="42.75" x14ac:dyDescent="0.2">
      <c r="A18" s="1711" t="s">
        <v>1165</v>
      </c>
      <c r="B18" s="75">
        <f>'[7]2.sz.tábla   (2)'!M76</f>
        <v>2874497034</v>
      </c>
      <c r="C18" s="75">
        <v>868000000</v>
      </c>
      <c r="D18" s="75">
        <v>500000000</v>
      </c>
      <c r="E18" s="360">
        <v>500000000</v>
      </c>
      <c r="F18" s="1704"/>
    </row>
    <row r="19" spans="1:13" ht="30.75" customHeight="1" x14ac:dyDescent="0.2">
      <c r="A19" s="1711" t="s">
        <v>1166</v>
      </c>
      <c r="B19" s="75">
        <f>'[7]2.sz.tábla   (2)'!M79</f>
        <v>438387185</v>
      </c>
      <c r="C19" s="75">
        <v>200000000</v>
      </c>
      <c r="D19" s="75"/>
      <c r="E19" s="360"/>
      <c r="F19" s="1704"/>
    </row>
    <row r="20" spans="1:13" ht="42" customHeight="1" x14ac:dyDescent="0.25">
      <c r="A20" s="1708" t="s">
        <v>384</v>
      </c>
      <c r="B20" s="1709">
        <f>SUM(B18:B19)</f>
        <v>3312884219</v>
      </c>
      <c r="C20" s="1709">
        <f>SUM(C18:C19)</f>
        <v>1068000000</v>
      </c>
      <c r="D20" s="1709">
        <f>SUM(D18:D19)</f>
        <v>500000000</v>
      </c>
      <c r="E20" s="1710">
        <f>SUM(E18:E19)</f>
        <v>500000000</v>
      </c>
      <c r="F20" s="1704"/>
    </row>
    <row r="21" spans="1:13" ht="18" customHeight="1" x14ac:dyDescent="0.25">
      <c r="A21" s="1712" t="s">
        <v>385</v>
      </c>
      <c r="B21" s="95">
        <f>B16+B20</f>
        <v>12990398078</v>
      </c>
      <c r="C21" s="95">
        <f>C16+C20</f>
        <v>8792400140</v>
      </c>
      <c r="D21" s="95">
        <f>D16+D20</f>
        <v>4862734803</v>
      </c>
      <c r="E21" s="606">
        <f>E16+E20</f>
        <v>5040520750</v>
      </c>
    </row>
    <row r="22" spans="1:13" s="1714" customFormat="1" ht="19.5" customHeight="1" x14ac:dyDescent="0.25">
      <c r="A22" s="1712"/>
      <c r="B22" s="75"/>
      <c r="C22" s="76"/>
      <c r="D22" s="75"/>
      <c r="E22" s="190"/>
      <c r="F22" s="1713"/>
      <c r="G22" s="1713"/>
      <c r="H22" s="1713"/>
      <c r="I22" s="1713"/>
      <c r="J22" s="1713"/>
      <c r="K22" s="1713"/>
      <c r="L22" s="1713"/>
      <c r="M22" s="1713"/>
    </row>
    <row r="23" spans="1:13" s="1716" customFormat="1" ht="20.100000000000001" customHeight="1" x14ac:dyDescent="0.25">
      <c r="A23" s="1708" t="s">
        <v>1167</v>
      </c>
      <c r="B23" s="1709">
        <f>SUM(B24:B28)</f>
        <v>3507700980</v>
      </c>
      <c r="C23" s="1709">
        <f>SUM(C24:C28)</f>
        <v>3220000000</v>
      </c>
      <c r="D23" s="1709">
        <f>SUM(D24:D28)</f>
        <v>3351000000</v>
      </c>
      <c r="E23" s="1710">
        <f>SUM(E24:E28)</f>
        <v>3497000000</v>
      </c>
      <c r="F23" s="1715"/>
      <c r="G23" s="1715"/>
      <c r="H23" s="1715"/>
      <c r="I23" s="1715"/>
      <c r="J23" s="1715"/>
      <c r="K23" s="1715"/>
      <c r="L23" s="1715"/>
      <c r="M23" s="1715"/>
    </row>
    <row r="24" spans="1:13" s="1716" customFormat="1" ht="20.100000000000001" customHeight="1" x14ac:dyDescent="0.2">
      <c r="A24" s="1705" t="s">
        <v>131</v>
      </c>
      <c r="B24" s="75">
        <f>'[7]8. sz. tábla  (3)'!H7</f>
        <v>664026977</v>
      </c>
      <c r="C24" s="1717">
        <v>670000000</v>
      </c>
      <c r="D24" s="1717">
        <v>700000000</v>
      </c>
      <c r="E24" s="1718">
        <v>740000000</v>
      </c>
      <c r="F24" s="1715"/>
      <c r="G24" s="1715"/>
      <c r="H24" s="1715"/>
      <c r="I24" s="1715"/>
      <c r="J24" s="1715"/>
      <c r="K24" s="1715"/>
      <c r="L24" s="1715"/>
      <c r="M24" s="1715"/>
    </row>
    <row r="25" spans="1:13" s="1714" customFormat="1" ht="31.5" customHeight="1" x14ac:dyDescent="0.2">
      <c r="A25" s="1705" t="s">
        <v>1168</v>
      </c>
      <c r="B25" s="75">
        <f>'[7]8. sz. tábla  (3)'!H8</f>
        <v>122015138</v>
      </c>
      <c r="C25" s="75">
        <v>120000000</v>
      </c>
      <c r="D25" s="75">
        <v>120000000</v>
      </c>
      <c r="E25" s="360">
        <v>126000000</v>
      </c>
      <c r="F25" s="1719"/>
      <c r="G25" s="1719"/>
      <c r="H25" s="1719"/>
      <c r="I25" s="1713"/>
      <c r="J25" s="1713"/>
      <c r="K25" s="1713"/>
      <c r="L25" s="1713"/>
      <c r="M25" s="1713"/>
    </row>
    <row r="26" spans="1:13" s="1714" customFormat="1" ht="22.5" customHeight="1" x14ac:dyDescent="0.2">
      <c r="A26" s="1705" t="s">
        <v>124</v>
      </c>
      <c r="B26" s="75">
        <f>'[7]8. sz. tábla  (3)'!H9</f>
        <v>1338249253</v>
      </c>
      <c r="C26" s="75">
        <v>1000000000</v>
      </c>
      <c r="D26" s="75">
        <v>1050000000</v>
      </c>
      <c r="E26" s="360">
        <v>1100000000</v>
      </c>
      <c r="F26" s="1719"/>
      <c r="G26" s="1719"/>
      <c r="H26" s="1719"/>
      <c r="I26" s="1713"/>
      <c r="J26" s="1713"/>
      <c r="K26" s="1713"/>
      <c r="L26" s="1713"/>
      <c r="M26" s="1713"/>
    </row>
    <row r="27" spans="1:13" s="1714" customFormat="1" ht="23.25" customHeight="1" x14ac:dyDescent="0.2">
      <c r="A27" s="1705" t="s">
        <v>150</v>
      </c>
      <c r="B27" s="75">
        <f>'[7]8. sz. tábla  (3)'!H10</f>
        <v>27600000</v>
      </c>
      <c r="C27" s="75">
        <v>30000000</v>
      </c>
      <c r="D27" s="75">
        <v>31000000</v>
      </c>
      <c r="E27" s="360">
        <v>31000000</v>
      </c>
      <c r="F27" s="1719"/>
      <c r="G27" s="1719"/>
      <c r="H27" s="1719"/>
      <c r="I27" s="1713"/>
      <c r="J27" s="1713"/>
      <c r="K27" s="1713"/>
      <c r="L27" s="1713"/>
      <c r="M27" s="1713"/>
    </row>
    <row r="28" spans="1:13" ht="20.100000000000001" customHeight="1" x14ac:dyDescent="0.2">
      <c r="A28" s="1705" t="s">
        <v>129</v>
      </c>
      <c r="B28" s="75">
        <f>'[7]8. sz. tábla  (3)'!H11</f>
        <v>1355809612</v>
      </c>
      <c r="C28" s="75">
        <v>1400000000</v>
      </c>
      <c r="D28" s="75">
        <v>1450000000</v>
      </c>
      <c r="E28" s="360">
        <v>1500000000</v>
      </c>
    </row>
    <row r="29" spans="1:13" ht="20.100000000000001" customHeight="1" x14ac:dyDescent="0.25">
      <c r="A29" s="1708" t="s">
        <v>1169</v>
      </c>
      <c r="B29" s="1709">
        <f>SUM(B30:B33)</f>
        <v>9114060198</v>
      </c>
      <c r="C29" s="1709">
        <f>SUM(C30:C33)</f>
        <v>5375000000</v>
      </c>
      <c r="D29" s="1709">
        <f t="shared" ref="D29:E29" si="0">SUM(D30:D33)</f>
        <v>1295000000</v>
      </c>
      <c r="E29" s="1709">
        <f t="shared" si="0"/>
        <v>1345000000</v>
      </c>
    </row>
    <row r="30" spans="1:13" ht="20.100000000000001" customHeight="1" x14ac:dyDescent="0.2">
      <c r="A30" s="1705" t="s">
        <v>1170</v>
      </c>
      <c r="B30" s="75">
        <f>'[7]8. sz. tábla  (3)'!H30</f>
        <v>8739294986</v>
      </c>
      <c r="C30" s="75">
        <v>5000000000</v>
      </c>
      <c r="D30" s="75">
        <v>1050000000</v>
      </c>
      <c r="E30" s="360">
        <v>1100000000</v>
      </c>
    </row>
    <row r="31" spans="1:13" s="1714" customFormat="1" ht="20.100000000000001" customHeight="1" x14ac:dyDescent="0.2">
      <c r="A31" s="1705" t="s">
        <v>1171</v>
      </c>
      <c r="B31" s="75">
        <f>'[7]8. sz. tábla  (3)'!H31</f>
        <v>30976000</v>
      </c>
      <c r="C31" s="75">
        <v>15000000</v>
      </c>
      <c r="D31" s="75">
        <v>15000000</v>
      </c>
      <c r="E31" s="360">
        <v>15000000</v>
      </c>
    </row>
    <row r="32" spans="1:13" ht="20.100000000000001" customHeight="1" x14ac:dyDescent="0.2">
      <c r="A32" s="1705" t="s">
        <v>1172</v>
      </c>
      <c r="B32" s="75">
        <f>'[7]8. sz. tábla  (3)'!H32</f>
        <v>107408627</v>
      </c>
      <c r="C32" s="75">
        <v>60000000</v>
      </c>
      <c r="D32" s="75">
        <v>60000000</v>
      </c>
      <c r="E32" s="360">
        <v>60000000</v>
      </c>
    </row>
    <row r="33" spans="1:5" ht="20.100000000000001" customHeight="1" x14ac:dyDescent="0.2">
      <c r="A33" s="1705" t="s">
        <v>1173</v>
      </c>
      <c r="B33" s="75">
        <f>'[7]8. sz. tábla  (3)'!H33</f>
        <v>236380585</v>
      </c>
      <c r="C33" s="75">
        <v>300000000</v>
      </c>
      <c r="D33" s="75">
        <v>170000000</v>
      </c>
      <c r="E33" s="360">
        <v>170000000</v>
      </c>
    </row>
    <row r="34" spans="1:5" ht="20.100000000000001" customHeight="1" x14ac:dyDescent="0.25">
      <c r="A34" s="1708" t="s">
        <v>394</v>
      </c>
      <c r="B34" s="1709">
        <f>SUM(B35:B36)</f>
        <v>241005271</v>
      </c>
      <c r="C34" s="1709">
        <f>SUM(C35:C36)</f>
        <v>68157716</v>
      </c>
      <c r="D34" s="1709">
        <f>SUM(D35:D36)</f>
        <v>84492379</v>
      </c>
      <c r="E34" s="1710">
        <f>SUM(E35:E36)</f>
        <v>64278326</v>
      </c>
    </row>
    <row r="35" spans="1:5" s="1714" customFormat="1" ht="20.100000000000001" customHeight="1" x14ac:dyDescent="0.2">
      <c r="A35" s="1705" t="s">
        <v>395</v>
      </c>
      <c r="B35" s="75">
        <f>'[7]1.sz.tábla   (2)'!D31</f>
        <v>33014814</v>
      </c>
      <c r="C35" s="75">
        <v>22701355</v>
      </c>
      <c r="D35" s="75">
        <v>34492379</v>
      </c>
      <c r="E35" s="360">
        <f>17038326-6760000</f>
        <v>10278326</v>
      </c>
    </row>
    <row r="36" spans="1:5" s="1714" customFormat="1" ht="20.100000000000001" customHeight="1" x14ac:dyDescent="0.2">
      <c r="A36" s="1705" t="s">
        <v>396</v>
      </c>
      <c r="B36" s="75">
        <f>'[7]1.sz.tábla   (2)'!D32</f>
        <v>207990457</v>
      </c>
      <c r="C36" s="75">
        <v>45456361</v>
      </c>
      <c r="D36" s="75">
        <v>50000000</v>
      </c>
      <c r="E36" s="360">
        <v>54000000</v>
      </c>
    </row>
    <row r="37" spans="1:5" ht="32.25" customHeight="1" x14ac:dyDescent="0.25">
      <c r="A37" s="1708" t="s">
        <v>397</v>
      </c>
      <c r="B37" s="1709">
        <f>SUM(B34,B29,B23)</f>
        <v>12862766449</v>
      </c>
      <c r="C37" s="1709">
        <f>SUM(C34,C29,C23)</f>
        <v>8663157716</v>
      </c>
      <c r="D37" s="1709">
        <f>SUM(D34,D29,D23)</f>
        <v>4730492379</v>
      </c>
      <c r="E37" s="1710">
        <f>SUM(E34,E29,E23)</f>
        <v>4906278326</v>
      </c>
    </row>
    <row r="38" spans="1:5" ht="20.100000000000001" customHeight="1" x14ac:dyDescent="0.2">
      <c r="A38" s="1705" t="s">
        <v>398</v>
      </c>
      <c r="B38" s="75">
        <f>'[7]7. sz. tábla 1'!D246</f>
        <v>74242424</v>
      </c>
      <c r="C38" s="75">
        <v>74242424</v>
      </c>
      <c r="D38" s="75">
        <v>74242424</v>
      </c>
      <c r="E38" s="360">
        <v>74242424</v>
      </c>
    </row>
    <row r="39" spans="1:5" ht="28.5" x14ac:dyDescent="0.2">
      <c r="A39" s="1705" t="s">
        <v>1174</v>
      </c>
      <c r="B39" s="75">
        <f>'[7]7. sz. tábla 1'!D248</f>
        <v>53389205</v>
      </c>
      <c r="C39" s="75">
        <v>55000000</v>
      </c>
      <c r="D39" s="75">
        <v>58000000</v>
      </c>
      <c r="E39" s="360">
        <v>60000000</v>
      </c>
    </row>
    <row r="40" spans="1:5" ht="20.100000000000001" customHeight="1" x14ac:dyDescent="0.2">
      <c r="A40" s="1705" t="s">
        <v>1175</v>
      </c>
      <c r="B40" s="75">
        <f>'[5]7. sz. tábla 1'!D247</f>
        <v>0</v>
      </c>
      <c r="C40" s="75"/>
      <c r="D40" s="75"/>
      <c r="E40" s="360"/>
    </row>
    <row r="41" spans="1:5" s="1714" customFormat="1" ht="15" x14ac:dyDescent="0.25">
      <c r="A41" s="1708" t="s">
        <v>399</v>
      </c>
      <c r="B41" s="1709">
        <f>SUM(B38:B40)</f>
        <v>127631629</v>
      </c>
      <c r="C41" s="1709">
        <f>SUM(C38:C39)</f>
        <v>129242424</v>
      </c>
      <c r="D41" s="1709">
        <f>SUM(D38:D39)</f>
        <v>132242424</v>
      </c>
      <c r="E41" s="1710">
        <f>SUM(E38:E39)</f>
        <v>134242424</v>
      </c>
    </row>
    <row r="42" spans="1:5" ht="20.100000000000001" customHeight="1" x14ac:dyDescent="0.25">
      <c r="A42" s="1712" t="s">
        <v>400</v>
      </c>
      <c r="B42" s="95">
        <f>SUM(B37,B41)</f>
        <v>12990398078</v>
      </c>
      <c r="C42" s="95">
        <f>SUM(C37,C41)</f>
        <v>8792400140</v>
      </c>
      <c r="D42" s="95">
        <f>SUM(D37,D41)</f>
        <v>4862734803</v>
      </c>
      <c r="E42" s="606">
        <f>SUM(E37,E41)</f>
        <v>5040520750</v>
      </c>
    </row>
    <row r="43" spans="1:5" ht="15" thickBot="1" x14ac:dyDescent="0.25">
      <c r="A43" s="1720"/>
      <c r="B43" s="1721"/>
      <c r="C43" s="1721">
        <f>C21-C42</f>
        <v>0</v>
      </c>
      <c r="D43" s="1721">
        <f>D21-D42</f>
        <v>0</v>
      </c>
      <c r="E43" s="1722">
        <f>E21-E42</f>
        <v>0</v>
      </c>
    </row>
    <row r="44" spans="1:5" x14ac:dyDescent="0.2">
      <c r="A44" s="1723"/>
      <c r="B44" s="1724"/>
      <c r="C44" s="455"/>
      <c r="D44" s="158"/>
      <c r="E44" s="455"/>
    </row>
  </sheetData>
  <sheetProtection selectLockedCells="1" selectUnlockedCells="1"/>
  <mergeCells count="2">
    <mergeCell ref="A5:E5"/>
    <mergeCell ref="A6:E6"/>
  </mergeCells>
  <printOptions horizontalCentered="1"/>
  <pageMargins left="0.4597222222222222" right="0.57986111111111116" top="1.1201388888888888" bottom="0.98402777777777772" header="0.45" footer="0.51180555555555551"/>
  <pageSetup paperSize="9" scale="61" firstPageNumber="0" orientation="portrait" r:id="rId1"/>
  <headerFooter alignWithMargins="0">
    <oddHeader xml:space="preserve">&amp;C&amp;"Arial,Félkövér"
&amp;"Arial,Normál" 18. melléklet
az önkormányzat 2020. évi költségvetéséről szóló 6/2020. (III.06.) önkormányzati rendeletéhez  &amp;R
&amp;P. oldal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24</vt:i4>
      </vt:variant>
      <vt:variant>
        <vt:lpstr>Névvel ellátott tartományok</vt:lpstr>
      </vt:variant>
      <vt:variant>
        <vt:i4>22</vt:i4>
      </vt:variant>
    </vt:vector>
  </HeadingPairs>
  <TitlesOfParts>
    <vt:vector size="46" baseType="lpstr">
      <vt:lpstr>1.sz.tábla   (2)</vt:lpstr>
      <vt:lpstr>2.sz.tábla   (2)</vt:lpstr>
      <vt:lpstr>2.a tábla ÚJ </vt:lpstr>
      <vt:lpstr>2b. tábla 2020. (2)</vt:lpstr>
      <vt:lpstr>2c. tábla 2020. (2)</vt:lpstr>
      <vt:lpstr>3.sz. tábla  (2)</vt:lpstr>
      <vt:lpstr>4.sz.tábla </vt:lpstr>
      <vt:lpstr>4a. sz. tábla (3)</vt:lpstr>
      <vt:lpstr>5.tábla (2)</vt:lpstr>
      <vt:lpstr>5b. sz. tábla  (2)</vt:lpstr>
      <vt:lpstr>6.sz.tábla  (3)</vt:lpstr>
      <vt:lpstr>7. sz. tábla 1</vt:lpstr>
      <vt:lpstr>8. sz. tábla  (3)</vt:lpstr>
      <vt:lpstr>8a. sz. tábla  (4)</vt:lpstr>
      <vt:lpstr>9. sz. tábla (2)</vt:lpstr>
      <vt:lpstr>10 tábla  </vt:lpstr>
      <vt:lpstr>11. sz. tábla (3)</vt:lpstr>
      <vt:lpstr>12. sz. tábla</vt:lpstr>
      <vt:lpstr>13.sz. tábla (2)</vt:lpstr>
      <vt:lpstr>14. sz. stabilitási tv  (3)</vt:lpstr>
      <vt:lpstr>15. sz. tábla (2)</vt:lpstr>
      <vt:lpstr>16. sz. tábla (3)</vt:lpstr>
      <vt:lpstr>17. sz. tábla </vt:lpstr>
      <vt:lpstr>18.sz.tábla  (4)</vt:lpstr>
      <vt:lpstr>'1.sz.tábla   (2)'!Nyomtatási_terület</vt:lpstr>
      <vt:lpstr>'10 tábla  '!Nyomtatási_terület</vt:lpstr>
      <vt:lpstr>'12. sz. tábla'!Nyomtatási_terület</vt:lpstr>
      <vt:lpstr>'13.sz. tábla (2)'!Nyomtatási_terület</vt:lpstr>
      <vt:lpstr>'14. sz. stabilitási tv  (3)'!Nyomtatási_terület</vt:lpstr>
      <vt:lpstr>'15. sz. tábla (2)'!Nyomtatási_terület</vt:lpstr>
      <vt:lpstr>'16. sz. tábla (3)'!Nyomtatási_terület</vt:lpstr>
      <vt:lpstr>'17. sz. tábla '!Nyomtatási_terület</vt:lpstr>
      <vt:lpstr>'18.sz.tábla  (4)'!Nyomtatási_terület</vt:lpstr>
      <vt:lpstr>'2.a tábla ÚJ '!Nyomtatási_terület</vt:lpstr>
      <vt:lpstr>'2.sz.tábla   (2)'!Nyomtatási_terület</vt:lpstr>
      <vt:lpstr>'2b. tábla 2020. (2)'!Nyomtatási_terület</vt:lpstr>
      <vt:lpstr>'2c. tábla 2020. (2)'!Nyomtatási_terület</vt:lpstr>
      <vt:lpstr>'3.sz. tábla  (2)'!Nyomtatási_terület</vt:lpstr>
      <vt:lpstr>'4.sz.tábla '!Nyomtatási_terület</vt:lpstr>
      <vt:lpstr>'5.tábla (2)'!Nyomtatási_terület</vt:lpstr>
      <vt:lpstr>'5b. sz. tábla  (2)'!Nyomtatási_terület</vt:lpstr>
      <vt:lpstr>'6.sz.tábla  (3)'!Nyomtatási_terület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2020-12-18T16:22:55Z</cp:lastPrinted>
  <dcterms:created xsi:type="dcterms:W3CDTF">2014-05-27T12:51:39Z</dcterms:created>
  <dcterms:modified xsi:type="dcterms:W3CDTF">2021-01-04T14:20:22Z</dcterms:modified>
</cp:coreProperties>
</file>